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RV-MANUTENCAO\LICITAÇÕES\2017\201700047000703 - M.O. e Materiais - Limpeza e Conservação (contínua)\"/>
    </mc:Choice>
  </mc:AlternateContent>
  <bookViews>
    <workbookView xWindow="13950" yWindow="-15" windowWidth="9885" windowHeight="4155" tabRatio="872" firstSheet="2" activeTab="10"/>
  </bookViews>
  <sheets>
    <sheet name="RESUMO GERAL" sheetId="57" r:id="rId1"/>
    <sheet name="LDI" sheetId="48" r:id="rId2"/>
    <sheet name="Mão de obra" sheetId="58" r:id="rId3"/>
    <sheet name="Segurança Trabalho" sheetId="45" r:id="rId4"/>
    <sheet name="Encargos Sociais" sheetId="47" r:id="rId5"/>
    <sheet name="EPIs e Uniformes" sheetId="50" r:id="rId6"/>
    <sheet name="Utensílios Higienização" sheetId="52" r:id="rId7"/>
    <sheet name="Insumos de Higienização" sheetId="46" r:id="rId8"/>
    <sheet name="Insumos de Conservação" sheetId="55" r:id="rId9"/>
    <sheet name="Forros e Pinturas" sheetId="59" r:id="rId10"/>
    <sheet name="Pisos" sheetId="53" r:id="rId11"/>
  </sheets>
  <definedNames>
    <definedName name="_Fill" localSheetId="4" hidden="1">#REF!</definedName>
    <definedName name="_Fill" localSheetId="5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1" hidden="1">#REF!</definedName>
    <definedName name="_Fill" localSheetId="2" hidden="1">#REF!</definedName>
    <definedName name="_Fill" localSheetId="10" hidden="1">#REF!</definedName>
    <definedName name="_Fill" localSheetId="0" hidden="1">#REF!</definedName>
    <definedName name="_Fill" localSheetId="3" hidden="1">#REF!</definedName>
    <definedName name="_Fill" localSheetId="6" hidden="1">#REF!</definedName>
    <definedName name="_Fill" hidden="1">#REF!</definedName>
    <definedName name="_xlnm.Print_Area" localSheetId="4">'Encargos Sociais'!$A$1:$C$34</definedName>
    <definedName name="_xlnm.Print_Area" localSheetId="5">'EPIs e Uniformes'!$A$1:$K$35</definedName>
    <definedName name="_xlnm.Print_Area" localSheetId="9">'Forros e Pinturas'!$A$1:$K$79</definedName>
    <definedName name="_xlnm.Print_Area" localSheetId="8">'Insumos de Conservação'!$A$1:$K$57</definedName>
    <definedName name="_xlnm.Print_Area" localSheetId="7">'Insumos de Higienização'!$A$1:$K$93</definedName>
    <definedName name="_xlnm.Print_Area" localSheetId="1">LDI!$A$1:$C$9</definedName>
    <definedName name="_xlnm.Print_Area" localSheetId="2">'Mão de obra'!$A$1:$I$26</definedName>
    <definedName name="_xlnm.Print_Area" localSheetId="10">Pisos!$A$1:$K$42</definedName>
    <definedName name="_xlnm.Print_Area" localSheetId="0">'RESUMO GERAL'!$A$1:$D$11</definedName>
    <definedName name="_xlnm.Print_Area" localSheetId="3">'Segurança Trabalho'!$A$1:$H$9</definedName>
    <definedName name="_xlnm.Print_Area" localSheetId="6">'Utensílios Higienização'!$A$1:$K$100</definedName>
    <definedName name="PERCENTUAL_ENCARGOS">'Encargos Sociais'!$C$34</definedName>
    <definedName name="QTD_MO" localSheetId="9">'Segurança Trabalho'!#REF!</definedName>
    <definedName name="QTD_MO" localSheetId="2">'Mão de obra'!$D$5:$D$18</definedName>
    <definedName name="QTD_MO">'Segurança Trabalho'!#REF!</definedName>
    <definedName name="TAXA_LDI">LDI!$C$9</definedName>
    <definedName name="VALOR_EPIS_1ANO">'EPIs e Uniformes'!$J$35</definedName>
    <definedName name="VALOR_EPIS_2ANO">'EPIs e Uniformes'!$K$35</definedName>
    <definedName name="VALOR_EXAMES_SEGURANCA_TRABALHO_1ANO">'Segurança Trabalho'!$G$9</definedName>
    <definedName name="VALOR_EXAMES_SEGURANCA_TRABALHO_2ANO">'Segurança Trabalho'!$H$9</definedName>
    <definedName name="VALOR_FORROS_PINTURAS_1ANO">'Forros e Pinturas'!$J$79</definedName>
    <definedName name="VALOR_FORROS_PINTURAS_2ANO">'Forros e Pinturas'!$K$79</definedName>
    <definedName name="VALOR_INSUMOS_CONSERVACAO_1ANO">'Insumos de Conservação'!$J$57</definedName>
    <definedName name="VALOR_INSUMOS_CONSERVACAO_2ANO">'Insumos de Conservação'!$K$57</definedName>
    <definedName name="VALOR_INSUMOS_HIGIENIZACAO_1ANO">'Insumos de Higienização'!$J$93</definedName>
    <definedName name="VALOR_INSUMOS_HIGIENIZACAO_2ANO">'Insumos de Higienização'!$K$93</definedName>
    <definedName name="VALOR_MENSAL_MO">'Mão de obra'!$I$26</definedName>
    <definedName name="VALOR_UTENSILIOS_HIGIENIZACAO_1ANO">'Utensílios Higienização'!$J$100</definedName>
    <definedName name="VALOR_UTENSILIOS_HIGIENIZACAO_2ANO">'Utensílios Higienização'!$K$100</definedName>
    <definedName name="VALOT_TOTAL_PISOS_1ANO">Pisos!$J$42</definedName>
    <definedName name="VALOT_TOTAL_PISOS_2ANO">Pisos!$K$42</definedName>
  </definedNames>
  <calcPr calcId="162913" iterateDelta="1E-4"/>
</workbook>
</file>

<file path=xl/calcChain.xml><?xml version="1.0" encoding="utf-8"?>
<calcChain xmlns="http://schemas.openxmlformats.org/spreadsheetml/2006/main">
  <c r="F55" i="55" l="1"/>
  <c r="I55" i="55"/>
  <c r="K55" i="55" s="1"/>
  <c r="I56" i="55"/>
  <c r="J56" i="55" s="1"/>
  <c r="F4" i="57"/>
  <c r="D4" i="57"/>
  <c r="G6" i="45"/>
  <c r="G7" i="45"/>
  <c r="G8" i="45"/>
  <c r="H6" i="45"/>
  <c r="H7" i="45"/>
  <c r="H8" i="45"/>
  <c r="E7" i="45"/>
  <c r="D7" i="45"/>
  <c r="E6" i="45"/>
  <c r="E5" i="45"/>
  <c r="H5" i="45" s="1"/>
  <c r="F10" i="57"/>
  <c r="D10" i="57"/>
  <c r="F9" i="57"/>
  <c r="D9" i="57"/>
  <c r="E7" i="57"/>
  <c r="C7" i="57"/>
  <c r="F6" i="57"/>
  <c r="D6" i="57"/>
  <c r="I48" i="59"/>
  <c r="K48" i="59" s="1"/>
  <c r="G47" i="59"/>
  <c r="F47" i="59"/>
  <c r="I47" i="59" s="1"/>
  <c r="H20" i="58"/>
  <c r="H19" i="58"/>
  <c r="J55" i="55" l="1"/>
  <c r="K56" i="55"/>
  <c r="H9" i="45"/>
  <c r="K47" i="59"/>
  <c r="J47" i="59"/>
  <c r="J48" i="59"/>
  <c r="I26" i="58" l="1"/>
  <c r="I76" i="59"/>
  <c r="J76" i="59" s="1"/>
  <c r="K76" i="59" l="1"/>
  <c r="I60" i="59"/>
  <c r="J60" i="59" s="1"/>
  <c r="K60" i="59" l="1"/>
  <c r="F77" i="59"/>
  <c r="I77" i="59" s="1"/>
  <c r="J77" i="59" s="1"/>
  <c r="K77" i="59" l="1"/>
  <c r="I54" i="52"/>
  <c r="J54" i="52" s="1"/>
  <c r="H50" i="52"/>
  <c r="I50" i="52" s="1"/>
  <c r="J50" i="52" s="1"/>
  <c r="I49" i="52"/>
  <c r="J49" i="52" s="1"/>
  <c r="F46" i="52"/>
  <c r="I46" i="52" s="1"/>
  <c r="K46" i="52" s="1"/>
  <c r="I51" i="52"/>
  <c r="K51" i="52" s="1"/>
  <c r="I56" i="52"/>
  <c r="J56" i="52" s="1"/>
  <c r="I77" i="46"/>
  <c r="J77" i="46" s="1"/>
  <c r="I32" i="50"/>
  <c r="J51" i="52" l="1"/>
  <c r="K54" i="52"/>
  <c r="K50" i="52"/>
  <c r="K49" i="52"/>
  <c r="J46" i="52"/>
  <c r="K56" i="52"/>
  <c r="K77" i="46"/>
  <c r="I32" i="55"/>
  <c r="G4" i="59" l="1"/>
  <c r="F31" i="55" l="1"/>
  <c r="I31" i="55" s="1"/>
  <c r="C9" i="48" l="1"/>
  <c r="E3" i="57" l="1"/>
  <c r="C3" i="57"/>
  <c r="I19" i="55"/>
  <c r="J19" i="55" s="1"/>
  <c r="I5" i="55"/>
  <c r="K5" i="55" s="1"/>
  <c r="F29" i="55"/>
  <c r="I4" i="59"/>
  <c r="K4" i="59" s="1"/>
  <c r="I11" i="59"/>
  <c r="J11" i="59" s="1"/>
  <c r="I12" i="59"/>
  <c r="J12" i="59" s="1"/>
  <c r="K11" i="59" l="1"/>
  <c r="J4" i="59"/>
  <c r="K12" i="59"/>
  <c r="J5" i="55"/>
  <c r="K19" i="55"/>
  <c r="F30" i="55"/>
  <c r="I30" i="55" s="1"/>
  <c r="D19" i="58" l="1"/>
  <c r="J30" i="55"/>
  <c r="I29" i="55"/>
  <c r="J29" i="55" s="1"/>
  <c r="F68" i="59"/>
  <c r="G85" i="52"/>
  <c r="F85" i="52"/>
  <c r="I85" i="52" s="1"/>
  <c r="J85" i="52" s="1"/>
  <c r="I86" i="52"/>
  <c r="J86" i="52" s="1"/>
  <c r="F86" i="52"/>
  <c r="I25" i="58"/>
  <c r="D25" i="58"/>
  <c r="K30" i="55" l="1"/>
  <c r="K29" i="55"/>
  <c r="K85" i="52"/>
  <c r="K86" i="52"/>
  <c r="D24" i="58" l="1"/>
  <c r="D23" i="58"/>
  <c r="I61" i="59" l="1"/>
  <c r="J61" i="59" s="1"/>
  <c r="I67" i="59"/>
  <c r="J67" i="59" s="1"/>
  <c r="K61" i="59" l="1"/>
  <c r="K67" i="59"/>
  <c r="I56" i="59" l="1"/>
  <c r="K56" i="59" s="1"/>
  <c r="I57" i="59"/>
  <c r="K57" i="59" s="1"/>
  <c r="I58" i="59"/>
  <c r="J58" i="59" s="1"/>
  <c r="I59" i="59"/>
  <c r="K59" i="59" s="1"/>
  <c r="I65" i="59"/>
  <c r="J65" i="59" s="1"/>
  <c r="I64" i="59"/>
  <c r="J64" i="59" s="1"/>
  <c r="I62" i="59"/>
  <c r="J62" i="59" s="1"/>
  <c r="I63" i="59"/>
  <c r="J63" i="59" s="1"/>
  <c r="I66" i="59"/>
  <c r="K66" i="59" s="1"/>
  <c r="I69" i="59"/>
  <c r="J69" i="59" s="1"/>
  <c r="I68" i="59"/>
  <c r="J68" i="59" s="1"/>
  <c r="I70" i="59"/>
  <c r="K70" i="59" s="1"/>
  <c r="I71" i="59"/>
  <c r="J71" i="59" s="1"/>
  <c r="I73" i="59"/>
  <c r="K73" i="59" s="1"/>
  <c r="I74" i="59"/>
  <c r="K74" i="59" s="1"/>
  <c r="I75" i="59"/>
  <c r="J75" i="59" s="1"/>
  <c r="I72" i="59"/>
  <c r="J72" i="59" s="1"/>
  <c r="I78" i="59"/>
  <c r="J78" i="59" s="1"/>
  <c r="I55" i="59"/>
  <c r="K55" i="59" s="1"/>
  <c r="K31" i="55"/>
  <c r="J31" i="55"/>
  <c r="I34" i="53"/>
  <c r="J34" i="53" s="1"/>
  <c r="I6" i="59"/>
  <c r="K6" i="59" s="1"/>
  <c r="I5" i="59"/>
  <c r="K5" i="59" s="1"/>
  <c r="I14" i="59"/>
  <c r="K14" i="59" s="1"/>
  <c r="G15" i="59"/>
  <c r="I15" i="59" s="1"/>
  <c r="K15" i="59" s="1"/>
  <c r="G16" i="59"/>
  <c r="I16" i="59" s="1"/>
  <c r="K69" i="59" l="1"/>
  <c r="K78" i="59"/>
  <c r="J73" i="59"/>
  <c r="J74" i="59"/>
  <c r="J59" i="59"/>
  <c r="K75" i="59"/>
  <c r="K58" i="59"/>
  <c r="K64" i="59"/>
  <c r="J56" i="59"/>
  <c r="J70" i="59"/>
  <c r="J66" i="59"/>
  <c r="J57" i="59"/>
  <c r="K68" i="59"/>
  <c r="K62" i="59"/>
  <c r="K71" i="59"/>
  <c r="K63" i="59"/>
  <c r="K72" i="59"/>
  <c r="K65" i="59"/>
  <c r="J55" i="59"/>
  <c r="K34" i="53"/>
  <c r="J5" i="59"/>
  <c r="J6" i="59"/>
  <c r="J16" i="59"/>
  <c r="K16" i="59"/>
  <c r="J15" i="59"/>
  <c r="J14" i="59"/>
  <c r="I27" i="50"/>
  <c r="J27" i="50" s="1"/>
  <c r="F36" i="55"/>
  <c r="I36" i="55" s="1"/>
  <c r="F37" i="55"/>
  <c r="I37" i="55" s="1"/>
  <c r="K27" i="50" l="1"/>
  <c r="K37" i="55"/>
  <c r="F35" i="55"/>
  <c r="I14" i="55"/>
  <c r="J14" i="55" s="1"/>
  <c r="H18" i="55"/>
  <c r="I18" i="55" s="1"/>
  <c r="J18" i="55" s="1"/>
  <c r="I12" i="55"/>
  <c r="J12" i="55" s="1"/>
  <c r="G24" i="55"/>
  <c r="I24" i="55" s="1"/>
  <c r="J24" i="55" s="1"/>
  <c r="F23" i="55"/>
  <c r="I23" i="55" s="1"/>
  <c r="J23" i="55" s="1"/>
  <c r="F22" i="55"/>
  <c r="I22" i="55" s="1"/>
  <c r="K22" i="55" s="1"/>
  <c r="I21" i="55"/>
  <c r="J21" i="55" s="1"/>
  <c r="F26" i="55"/>
  <c r="I26" i="55" s="1"/>
  <c r="I10" i="55"/>
  <c r="J10" i="55" s="1"/>
  <c r="I4" i="55"/>
  <c r="K4" i="55" s="1"/>
  <c r="I27" i="55"/>
  <c r="K27" i="55" s="1"/>
  <c r="I7" i="55"/>
  <c r="J7" i="55" s="1"/>
  <c r="I8" i="55"/>
  <c r="J8" i="55" s="1"/>
  <c r="I9" i="55"/>
  <c r="J9" i="55" s="1"/>
  <c r="I11" i="55"/>
  <c r="J11" i="55" s="1"/>
  <c r="I17" i="55"/>
  <c r="J17" i="55" s="1"/>
  <c r="H15" i="55"/>
  <c r="G15" i="55"/>
  <c r="F15" i="55"/>
  <c r="J32" i="55"/>
  <c r="K36" i="55"/>
  <c r="I6" i="55"/>
  <c r="J6" i="55" s="1"/>
  <c r="I42" i="55"/>
  <c r="J42" i="55" s="1"/>
  <c r="I49" i="55"/>
  <c r="J49" i="55" s="1"/>
  <c r="I48" i="55"/>
  <c r="J48" i="55" s="1"/>
  <c r="D20" i="58"/>
  <c r="I35" i="55" l="1"/>
  <c r="K35" i="55" s="1"/>
  <c r="J37" i="55"/>
  <c r="K14" i="55"/>
  <c r="K12" i="55"/>
  <c r="K18" i="55"/>
  <c r="K23" i="55"/>
  <c r="J26" i="55"/>
  <c r="K26" i="55"/>
  <c r="J22" i="55"/>
  <c r="K21" i="55"/>
  <c r="J4" i="55"/>
  <c r="K24" i="55"/>
  <c r="K10" i="55"/>
  <c r="K11" i="55"/>
  <c r="J36" i="55"/>
  <c r="K17" i="55"/>
  <c r="K8" i="55"/>
  <c r="J27" i="55"/>
  <c r="K7" i="55"/>
  <c r="K9" i="55"/>
  <c r="I15" i="55"/>
  <c r="J15" i="55" s="1"/>
  <c r="K32" i="55"/>
  <c r="K6" i="55"/>
  <c r="K42" i="55"/>
  <c r="K49" i="55"/>
  <c r="K48" i="55"/>
  <c r="G52" i="59"/>
  <c r="G51" i="59"/>
  <c r="J35" i="55" l="1"/>
  <c r="K15" i="55"/>
  <c r="I23" i="50"/>
  <c r="K23" i="50" s="1"/>
  <c r="I39" i="59"/>
  <c r="K39" i="59" s="1"/>
  <c r="F33" i="59"/>
  <c r="G35" i="59"/>
  <c r="F35" i="59"/>
  <c r="G34" i="59"/>
  <c r="F34" i="59"/>
  <c r="I24" i="59"/>
  <c r="J24" i="59" s="1"/>
  <c r="F23" i="59"/>
  <c r="J23" i="50" l="1"/>
  <c r="J39" i="59"/>
  <c r="K24" i="59"/>
  <c r="I51" i="59" l="1"/>
  <c r="J51" i="59" s="1"/>
  <c r="I52" i="59"/>
  <c r="K52" i="59" s="1"/>
  <c r="I41" i="59"/>
  <c r="K41" i="59" s="1"/>
  <c r="I42" i="59"/>
  <c r="J42" i="59" s="1"/>
  <c r="I40" i="59"/>
  <c r="J40" i="59" s="1"/>
  <c r="I50" i="59"/>
  <c r="J50" i="59" s="1"/>
  <c r="I49" i="59"/>
  <c r="J49" i="59" s="1"/>
  <c r="I35" i="59"/>
  <c r="J35" i="59" s="1"/>
  <c r="I34" i="59"/>
  <c r="J34" i="59" s="1"/>
  <c r="I33" i="59"/>
  <c r="K33" i="59" s="1"/>
  <c r="I30" i="59"/>
  <c r="J30" i="59" s="1"/>
  <c r="I22" i="59"/>
  <c r="J22" i="59" s="1"/>
  <c r="I28" i="59"/>
  <c r="K28" i="59" s="1"/>
  <c r="I27" i="59"/>
  <c r="J27" i="59" s="1"/>
  <c r="I26" i="59"/>
  <c r="J26" i="59" s="1"/>
  <c r="I25" i="59"/>
  <c r="J25" i="59" s="1"/>
  <c r="I46" i="59"/>
  <c r="J46" i="59" s="1"/>
  <c r="I32" i="59"/>
  <c r="J32" i="59" s="1"/>
  <c r="I31" i="59"/>
  <c r="J31" i="59" s="1"/>
  <c r="I23" i="59"/>
  <c r="J23" i="59" s="1"/>
  <c r="I44" i="59"/>
  <c r="J44" i="59" s="1"/>
  <c r="I43" i="59"/>
  <c r="J43" i="59" s="1"/>
  <c r="I38" i="59"/>
  <c r="J38" i="59" s="1"/>
  <c r="I36" i="59"/>
  <c r="J36" i="59" s="1"/>
  <c r="I29" i="59"/>
  <c r="J29" i="59" s="1"/>
  <c r="I37" i="59"/>
  <c r="J37" i="59" s="1"/>
  <c r="I45" i="59"/>
  <c r="J45" i="59" s="1"/>
  <c r="K43" i="59" l="1"/>
  <c r="J41" i="59"/>
  <c r="J33" i="59"/>
  <c r="K26" i="59"/>
  <c r="K49" i="59"/>
  <c r="K22" i="59"/>
  <c r="K35" i="59"/>
  <c r="K42" i="59"/>
  <c r="K32" i="59"/>
  <c r="K27" i="59"/>
  <c r="J52" i="59"/>
  <c r="K34" i="59"/>
  <c r="K46" i="59"/>
  <c r="K44" i="59"/>
  <c r="K45" i="59"/>
  <c r="K29" i="59"/>
  <c r="K38" i="59"/>
  <c r="J28" i="59"/>
  <c r="K23" i="59"/>
  <c r="K51" i="59"/>
  <c r="K40" i="59"/>
  <c r="K50" i="59"/>
  <c r="K37" i="59"/>
  <c r="K31" i="59"/>
  <c r="K30" i="59"/>
  <c r="K25" i="59"/>
  <c r="K36" i="59"/>
  <c r="F54" i="59" l="1"/>
  <c r="I54" i="59" s="1"/>
  <c r="I20" i="59"/>
  <c r="K20" i="59" s="1"/>
  <c r="I19" i="59"/>
  <c r="E19" i="59"/>
  <c r="D19" i="59"/>
  <c r="G18" i="59"/>
  <c r="I18" i="59" s="1"/>
  <c r="I17" i="59"/>
  <c r="K17" i="59" s="1"/>
  <c r="I13" i="59"/>
  <c r="K13" i="59" s="1"/>
  <c r="I10" i="59"/>
  <c r="K10" i="59" s="1"/>
  <c r="H9" i="59"/>
  <c r="I9" i="59" s="1"/>
  <c r="I8" i="59"/>
  <c r="J8" i="59" s="1"/>
  <c r="I7" i="59"/>
  <c r="K7" i="59" s="1"/>
  <c r="D22" i="58"/>
  <c r="I22" i="58" s="1"/>
  <c r="H91" i="46"/>
  <c r="I92" i="46"/>
  <c r="K92" i="46" s="1"/>
  <c r="I89" i="46"/>
  <c r="J89" i="46" s="1"/>
  <c r="K89" i="46"/>
  <c r="F92" i="46"/>
  <c r="I52" i="52"/>
  <c r="J52" i="52" s="1"/>
  <c r="K52" i="52"/>
  <c r="I53" i="52"/>
  <c r="J53" i="52" s="1"/>
  <c r="I57" i="52"/>
  <c r="K57" i="52" s="1"/>
  <c r="J57" i="52"/>
  <c r="I58" i="52"/>
  <c r="J58" i="52" s="1"/>
  <c r="G55" i="52"/>
  <c r="I55" i="52" s="1"/>
  <c r="J55" i="52" s="1"/>
  <c r="H88" i="46"/>
  <c r="G88" i="46"/>
  <c r="F88" i="46"/>
  <c r="H86" i="46"/>
  <c r="G86" i="46"/>
  <c r="I86" i="46" s="1"/>
  <c r="K86" i="46" s="1"/>
  <c r="F86" i="46"/>
  <c r="G91" i="46"/>
  <c r="F91" i="46"/>
  <c r="I65" i="46"/>
  <c r="K65" i="46" s="1"/>
  <c r="I67" i="46"/>
  <c r="J67" i="46" s="1"/>
  <c r="I69" i="46"/>
  <c r="J69" i="46" s="1"/>
  <c r="K53" i="52" l="1"/>
  <c r="K58" i="52"/>
  <c r="K8" i="59"/>
  <c r="K19" i="59"/>
  <c r="J17" i="59"/>
  <c r="J13" i="59"/>
  <c r="J7" i="59"/>
  <c r="J19" i="59"/>
  <c r="K9" i="59"/>
  <c r="J9" i="59"/>
  <c r="K54" i="59"/>
  <c r="J54" i="59"/>
  <c r="K18" i="59"/>
  <c r="J18" i="59"/>
  <c r="J10" i="59"/>
  <c r="J20" i="59"/>
  <c r="J92" i="46"/>
  <c r="K55" i="52"/>
  <c r="I88" i="46"/>
  <c r="K88" i="46" s="1"/>
  <c r="J86" i="46"/>
  <c r="K67" i="46"/>
  <c r="K69" i="46"/>
  <c r="J65" i="46"/>
  <c r="I83" i="52"/>
  <c r="J83" i="52" s="1"/>
  <c r="K79" i="59" l="1"/>
  <c r="J79" i="59"/>
  <c r="J88" i="46"/>
  <c r="K83" i="52"/>
  <c r="I21" i="53" l="1"/>
  <c r="J21" i="53" s="1"/>
  <c r="I22" i="53"/>
  <c r="K22" i="53" s="1"/>
  <c r="I23" i="53"/>
  <c r="J23" i="53"/>
  <c r="K23" i="53"/>
  <c r="I24" i="53"/>
  <c r="J24" i="53" s="1"/>
  <c r="I25" i="53"/>
  <c r="K25" i="53" s="1"/>
  <c r="I27" i="53"/>
  <c r="J27" i="53" s="1"/>
  <c r="I28" i="53"/>
  <c r="J28" i="53" s="1"/>
  <c r="I29" i="53"/>
  <c r="K29" i="53" s="1"/>
  <c r="I30" i="53"/>
  <c r="J30" i="53" s="1"/>
  <c r="I32" i="53"/>
  <c r="J32" i="53" s="1"/>
  <c r="I33" i="53"/>
  <c r="K33" i="53" s="1"/>
  <c r="I35" i="53"/>
  <c r="K35" i="53" s="1"/>
  <c r="I36" i="53"/>
  <c r="J36" i="53" s="1"/>
  <c r="K36" i="53"/>
  <c r="I5" i="50"/>
  <c r="J5" i="50" s="1"/>
  <c r="I6" i="50"/>
  <c r="I8" i="50"/>
  <c r="I11" i="50"/>
  <c r="I12" i="50"/>
  <c r="I94" i="52"/>
  <c r="J94" i="52" s="1"/>
  <c r="I93" i="52"/>
  <c r="J93" i="52"/>
  <c r="K93" i="52"/>
  <c r="J35" i="53" l="1"/>
  <c r="K27" i="53"/>
  <c r="J22" i="53"/>
  <c r="J33" i="53"/>
  <c r="K30" i="53"/>
  <c r="J29" i="53"/>
  <c r="K28" i="53"/>
  <c r="J25" i="53"/>
  <c r="K32" i="53"/>
  <c r="K24" i="53"/>
  <c r="K21" i="53"/>
  <c r="K94" i="52"/>
  <c r="D95" i="52"/>
  <c r="H34" i="55" l="1"/>
  <c r="G53" i="55"/>
  <c r="I53" i="55" s="1"/>
  <c r="J53" i="55" s="1"/>
  <c r="I47" i="55"/>
  <c r="J47" i="55" s="1"/>
  <c r="I54" i="55"/>
  <c r="J54" i="55" s="1"/>
  <c r="H39" i="55"/>
  <c r="G39" i="55"/>
  <c r="G40" i="55"/>
  <c r="I40" i="55" s="1"/>
  <c r="J40" i="55" s="1"/>
  <c r="I46" i="55"/>
  <c r="J46" i="55" s="1"/>
  <c r="I52" i="55"/>
  <c r="J52" i="55" s="1"/>
  <c r="I43" i="55"/>
  <c r="J43" i="55" s="1"/>
  <c r="I50" i="55"/>
  <c r="K50" i="55" s="1"/>
  <c r="I51" i="55"/>
  <c r="J51" i="55" s="1"/>
  <c r="F33" i="55"/>
  <c r="I33" i="55" l="1"/>
  <c r="J33" i="55" s="1"/>
  <c r="I34" i="55"/>
  <c r="J34" i="55" s="1"/>
  <c r="K46" i="55"/>
  <c r="I39" i="55"/>
  <c r="J39" i="55" s="1"/>
  <c r="J50" i="55"/>
  <c r="K51" i="55"/>
  <c r="K54" i="55"/>
  <c r="K47" i="55"/>
  <c r="K40" i="55"/>
  <c r="K53" i="55"/>
  <c r="K52" i="55"/>
  <c r="K43" i="55"/>
  <c r="I41" i="55"/>
  <c r="K41" i="55" s="1"/>
  <c r="K34" i="55" l="1"/>
  <c r="K33" i="55"/>
  <c r="K39" i="55"/>
  <c r="J41" i="55"/>
  <c r="I20" i="55"/>
  <c r="J20" i="55" s="1"/>
  <c r="I65" i="52"/>
  <c r="K65" i="52" s="1"/>
  <c r="D65" i="52"/>
  <c r="E52" i="46"/>
  <c r="E51" i="46"/>
  <c r="E50" i="46"/>
  <c r="D52" i="46"/>
  <c r="D51" i="46"/>
  <c r="D50" i="46"/>
  <c r="K20" i="55" l="1"/>
  <c r="J65" i="52"/>
  <c r="I6" i="53"/>
  <c r="J6" i="53" s="1"/>
  <c r="I7" i="53"/>
  <c r="K7" i="53" s="1"/>
  <c r="J7" i="53"/>
  <c r="I9" i="53"/>
  <c r="J9" i="53" s="1"/>
  <c r="K9" i="53"/>
  <c r="I10" i="53"/>
  <c r="J10" i="53" s="1"/>
  <c r="I11" i="53"/>
  <c r="K11" i="53" s="1"/>
  <c r="J11" i="53"/>
  <c r="I13" i="53"/>
  <c r="I37" i="46"/>
  <c r="K37" i="46" s="1"/>
  <c r="I38" i="46"/>
  <c r="J38" i="46" s="1"/>
  <c r="K38" i="46"/>
  <c r="I39" i="46"/>
  <c r="K39" i="46" s="1"/>
  <c r="I40" i="46"/>
  <c r="J40" i="46" s="1"/>
  <c r="I41" i="46"/>
  <c r="K41" i="46" s="1"/>
  <c r="I42" i="46"/>
  <c r="K42" i="46" s="1"/>
  <c r="J42" i="46"/>
  <c r="I43" i="46"/>
  <c r="K43" i="46" s="1"/>
  <c r="J43" i="46"/>
  <c r="I44" i="46"/>
  <c r="J44" i="46" s="1"/>
  <c r="I45" i="46"/>
  <c r="K45" i="46" s="1"/>
  <c r="I46" i="46"/>
  <c r="J46" i="46" s="1"/>
  <c r="I47" i="46"/>
  <c r="K47" i="46" s="1"/>
  <c r="J47" i="46"/>
  <c r="I48" i="46"/>
  <c r="I50" i="46"/>
  <c r="J50" i="46" s="1"/>
  <c r="I51" i="46"/>
  <c r="J51" i="46" s="1"/>
  <c r="I52" i="46"/>
  <c r="J52" i="46"/>
  <c r="K52" i="46"/>
  <c r="I54" i="46"/>
  <c r="J54" i="46" s="1"/>
  <c r="I55" i="46"/>
  <c r="J55" i="46" s="1"/>
  <c r="I56" i="46"/>
  <c r="J56" i="46" s="1"/>
  <c r="I57" i="46"/>
  <c r="J57" i="46" s="1"/>
  <c r="I59" i="46"/>
  <c r="J59" i="46" s="1"/>
  <c r="I62" i="46"/>
  <c r="J62" i="46" s="1"/>
  <c r="I63" i="46"/>
  <c r="J63" i="46" s="1"/>
  <c r="I64" i="46"/>
  <c r="K64" i="46" s="1"/>
  <c r="I66" i="46"/>
  <c r="K66" i="46" s="1"/>
  <c r="J66" i="46"/>
  <c r="I68" i="46"/>
  <c r="K68" i="46" s="1"/>
  <c r="I70" i="46"/>
  <c r="J70" i="46" s="1"/>
  <c r="I73" i="46"/>
  <c r="J73" i="46" s="1"/>
  <c r="I74" i="46"/>
  <c r="J74" i="46" s="1"/>
  <c r="I75" i="46"/>
  <c r="K75" i="46" s="1"/>
  <c r="J75" i="46"/>
  <c r="I76" i="46"/>
  <c r="K76" i="46" s="1"/>
  <c r="J76" i="46"/>
  <c r="I78" i="46"/>
  <c r="J78" i="46" s="1"/>
  <c r="K78" i="46"/>
  <c r="I81" i="46"/>
  <c r="J81" i="46" s="1"/>
  <c r="I82" i="46"/>
  <c r="J82" i="46" s="1"/>
  <c r="I84" i="46"/>
  <c r="K84" i="46" s="1"/>
  <c r="J84" i="46"/>
  <c r="I87" i="46"/>
  <c r="K87" i="46" s="1"/>
  <c r="I90" i="46"/>
  <c r="K90" i="46" s="1"/>
  <c r="I91" i="52"/>
  <c r="K91" i="52" s="1"/>
  <c r="J91" i="52"/>
  <c r="I92" i="52"/>
  <c r="J92" i="52" s="1"/>
  <c r="I95" i="52"/>
  <c r="K95" i="52" s="1"/>
  <c r="J95" i="52"/>
  <c r="I96" i="52"/>
  <c r="J96" i="52"/>
  <c r="K96" i="52"/>
  <c r="I97" i="52"/>
  <c r="J97" i="52" s="1"/>
  <c r="I98" i="52"/>
  <c r="J98" i="52" s="1"/>
  <c r="I99" i="52"/>
  <c r="K99" i="52" s="1"/>
  <c r="I79" i="52"/>
  <c r="J79" i="52" s="1"/>
  <c r="I84" i="52"/>
  <c r="J84" i="52" s="1"/>
  <c r="I68" i="52"/>
  <c r="J68" i="52" s="1"/>
  <c r="K68" i="52"/>
  <c r="I69" i="52"/>
  <c r="K69" i="52" s="1"/>
  <c r="I70" i="52"/>
  <c r="K70" i="52" s="1"/>
  <c r="I71" i="52"/>
  <c r="K71" i="52" s="1"/>
  <c r="I72" i="52"/>
  <c r="J72" i="52" s="1"/>
  <c r="I73" i="52"/>
  <c r="J73" i="52" s="1"/>
  <c r="I74" i="52"/>
  <c r="J74" i="52" s="1"/>
  <c r="I75" i="52"/>
  <c r="K75" i="52" s="1"/>
  <c r="J75" i="52"/>
  <c r="I76" i="52"/>
  <c r="J76" i="52" s="1"/>
  <c r="I61" i="52"/>
  <c r="J61" i="52" s="1"/>
  <c r="I20" i="52"/>
  <c r="K20" i="52" s="1"/>
  <c r="I21" i="52"/>
  <c r="J21" i="52" s="1"/>
  <c r="I22" i="52"/>
  <c r="K22" i="52" s="1"/>
  <c r="J22" i="52"/>
  <c r="I23" i="52"/>
  <c r="J23" i="52" s="1"/>
  <c r="I24" i="52"/>
  <c r="K24" i="52" s="1"/>
  <c r="J24" i="52"/>
  <c r="I25" i="52"/>
  <c r="J25" i="52" s="1"/>
  <c r="I26" i="52"/>
  <c r="K26" i="52" s="1"/>
  <c r="J26" i="52"/>
  <c r="I27" i="52"/>
  <c r="J27" i="52" s="1"/>
  <c r="K27" i="52"/>
  <c r="I28" i="52"/>
  <c r="J28" i="52"/>
  <c r="K28" i="52"/>
  <c r="I29" i="52"/>
  <c r="J29" i="52" s="1"/>
  <c r="I30" i="52"/>
  <c r="K30" i="52" s="1"/>
  <c r="J30" i="52"/>
  <c r="I31" i="52"/>
  <c r="J31" i="52" s="1"/>
  <c r="K31" i="52"/>
  <c r="I32" i="52"/>
  <c r="K32" i="52" s="1"/>
  <c r="J32" i="52"/>
  <c r="I33" i="52"/>
  <c r="J33" i="52" s="1"/>
  <c r="I35" i="52"/>
  <c r="J35" i="52" s="1"/>
  <c r="I36" i="52"/>
  <c r="K36" i="52" s="1"/>
  <c r="J36" i="52"/>
  <c r="I37" i="52"/>
  <c r="J37" i="52" s="1"/>
  <c r="I38" i="52"/>
  <c r="K38" i="52" s="1"/>
  <c r="I39" i="52"/>
  <c r="J39" i="52" s="1"/>
  <c r="I40" i="52"/>
  <c r="J40" i="52" s="1"/>
  <c r="I41" i="52"/>
  <c r="J41" i="52" s="1"/>
  <c r="I42" i="52"/>
  <c r="J42" i="52" s="1"/>
  <c r="I43" i="52"/>
  <c r="K43" i="52" s="1"/>
  <c r="J43" i="52"/>
  <c r="I5" i="52"/>
  <c r="K5" i="52" s="1"/>
  <c r="J5" i="52"/>
  <c r="I6" i="52"/>
  <c r="J6" i="52" s="1"/>
  <c r="I7" i="52"/>
  <c r="K7" i="52" s="1"/>
  <c r="I8" i="52"/>
  <c r="K8" i="52" s="1"/>
  <c r="I9" i="52"/>
  <c r="K9" i="52" s="1"/>
  <c r="J9" i="52"/>
  <c r="I10" i="52"/>
  <c r="J10" i="52" s="1"/>
  <c r="I11" i="52"/>
  <c r="J11" i="52" s="1"/>
  <c r="I12" i="52"/>
  <c r="J12" i="52" s="1"/>
  <c r="I13" i="52"/>
  <c r="J13" i="52" s="1"/>
  <c r="I14" i="52"/>
  <c r="K14" i="52" s="1"/>
  <c r="I15" i="52"/>
  <c r="K15" i="52" s="1"/>
  <c r="I16" i="52"/>
  <c r="K16" i="52" s="1"/>
  <c r="I17" i="52"/>
  <c r="J17" i="52" s="1"/>
  <c r="I15" i="50"/>
  <c r="K15" i="50" s="1"/>
  <c r="I16" i="50"/>
  <c r="I17" i="50"/>
  <c r="K17" i="50" s="1"/>
  <c r="I18" i="50"/>
  <c r="J18" i="50" s="1"/>
  <c r="I19" i="50"/>
  <c r="K19" i="50" s="1"/>
  <c r="I20" i="50"/>
  <c r="K20" i="50" s="1"/>
  <c r="I21" i="50"/>
  <c r="I22" i="50"/>
  <c r="K22" i="50" s="1"/>
  <c r="I24" i="50"/>
  <c r="K24" i="50" s="1"/>
  <c r="I25" i="50"/>
  <c r="J25" i="50" s="1"/>
  <c r="I28" i="50"/>
  <c r="J28" i="50" s="1"/>
  <c r="I29" i="50"/>
  <c r="K29" i="50" s="1"/>
  <c r="I30" i="50"/>
  <c r="J30" i="50" s="1"/>
  <c r="I31" i="50"/>
  <c r="K31" i="50" s="1"/>
  <c r="I33" i="50"/>
  <c r="K33" i="50" s="1"/>
  <c r="I34" i="50"/>
  <c r="J34" i="50" s="1"/>
  <c r="G44" i="55"/>
  <c r="F45" i="55"/>
  <c r="F44" i="55"/>
  <c r="J15" i="50" l="1"/>
  <c r="K23" i="52"/>
  <c r="J69" i="52"/>
  <c r="K50" i="46"/>
  <c r="J39" i="46"/>
  <c r="J14" i="52"/>
  <c r="K59" i="46"/>
  <c r="J45" i="46"/>
  <c r="J68" i="46"/>
  <c r="K84" i="52"/>
  <c r="J64" i="46"/>
  <c r="J90" i="46"/>
  <c r="K57" i="46"/>
  <c r="K81" i="46"/>
  <c r="K46" i="46"/>
  <c r="J87" i="46"/>
  <c r="J41" i="46"/>
  <c r="J37" i="46"/>
  <c r="K54" i="46"/>
  <c r="K44" i="46"/>
  <c r="K55" i="46"/>
  <c r="K51" i="46"/>
  <c r="J8" i="52"/>
  <c r="K12" i="52"/>
  <c r="K17" i="52"/>
  <c r="J7" i="52"/>
  <c r="J15" i="52"/>
  <c r="K10" i="52"/>
  <c r="K39" i="52"/>
  <c r="K37" i="52"/>
  <c r="J71" i="52"/>
  <c r="K79" i="52"/>
  <c r="K6" i="52"/>
  <c r="K42" i="52"/>
  <c r="K40" i="52"/>
  <c r="K35" i="52"/>
  <c r="K76" i="52"/>
  <c r="K72" i="52"/>
  <c r="K97" i="52"/>
  <c r="K13" i="52"/>
  <c r="J16" i="52"/>
  <c r="J38" i="52"/>
  <c r="J20" i="52"/>
  <c r="J70" i="52"/>
  <c r="J99" i="52"/>
  <c r="K61" i="52"/>
  <c r="J29" i="50"/>
  <c r="J20" i="50"/>
  <c r="J22" i="50"/>
  <c r="K6" i="53"/>
  <c r="K10" i="53"/>
  <c r="K56" i="46"/>
  <c r="K40" i="46"/>
  <c r="K74" i="46"/>
  <c r="K63" i="46"/>
  <c r="K82" i="46"/>
  <c r="K73" i="46"/>
  <c r="K62" i="46"/>
  <c r="K70" i="46"/>
  <c r="K92" i="52"/>
  <c r="K98" i="52"/>
  <c r="K74" i="52"/>
  <c r="K73" i="52"/>
  <c r="K29" i="52"/>
  <c r="K21" i="52"/>
  <c r="K41" i="52"/>
  <c r="K33" i="52"/>
  <c r="K25" i="52"/>
  <c r="K11" i="52"/>
  <c r="J33" i="50"/>
  <c r="J17" i="50"/>
  <c r="K25" i="50"/>
  <c r="J31" i="50"/>
  <c r="J24" i="50"/>
  <c r="K34" i="50"/>
  <c r="K28" i="50"/>
  <c r="K18" i="50"/>
  <c r="K30" i="50"/>
  <c r="I44" i="55"/>
  <c r="J44" i="55" s="1"/>
  <c r="I45" i="55"/>
  <c r="J45" i="55" s="1"/>
  <c r="I16" i="55"/>
  <c r="J16" i="55" s="1"/>
  <c r="J12" i="50"/>
  <c r="J11" i="50"/>
  <c r="J8" i="50"/>
  <c r="J6" i="50"/>
  <c r="K16" i="55" l="1"/>
  <c r="K44" i="55"/>
  <c r="K45" i="55"/>
  <c r="F6" i="45"/>
  <c r="F7" i="45"/>
  <c r="F5" i="45"/>
  <c r="F8" i="45" l="1"/>
  <c r="D5" i="45"/>
  <c r="D6" i="45"/>
  <c r="I24" i="58"/>
  <c r="I23" i="58"/>
  <c r="G15" i="58"/>
  <c r="F14" i="58"/>
  <c r="G13" i="58"/>
  <c r="F12" i="58"/>
  <c r="G10" i="58"/>
  <c r="G8" i="58"/>
  <c r="G5" i="45" l="1"/>
  <c r="C3" i="47"/>
  <c r="C12" i="47"/>
  <c r="G9" i="45" l="1"/>
  <c r="C4" i="57" s="1"/>
  <c r="I17" i="53"/>
  <c r="J17" i="53" s="1"/>
  <c r="K17" i="53"/>
  <c r="I18" i="53"/>
  <c r="J18" i="53" s="1"/>
  <c r="I13" i="55"/>
  <c r="J13" i="55" s="1"/>
  <c r="I25" i="55"/>
  <c r="K25" i="55" s="1"/>
  <c r="K18" i="53" l="1"/>
  <c r="K13" i="55"/>
  <c r="J25" i="55"/>
  <c r="F64" i="52" l="1"/>
  <c r="I64" i="52" s="1"/>
  <c r="F87" i="52"/>
  <c r="I87" i="52" s="1"/>
  <c r="G82" i="52"/>
  <c r="F82" i="52"/>
  <c r="I82" i="52" s="1"/>
  <c r="F81" i="52"/>
  <c r="I81" i="52" s="1"/>
  <c r="H80" i="52"/>
  <c r="F80" i="52"/>
  <c r="K82" i="52" l="1"/>
  <c r="J82" i="52"/>
  <c r="I80" i="52"/>
  <c r="J87" i="52"/>
  <c r="K87" i="52"/>
  <c r="K81" i="52"/>
  <c r="J81" i="52"/>
  <c r="F88" i="52" s="1"/>
  <c r="J64" i="52"/>
  <c r="K64" i="52"/>
  <c r="I14" i="50"/>
  <c r="J14" i="50" s="1"/>
  <c r="I4" i="50"/>
  <c r="J80" i="52" l="1"/>
  <c r="K80" i="52"/>
  <c r="K14" i="50"/>
  <c r="J4" i="50"/>
  <c r="E10" i="50" l="1"/>
  <c r="E4" i="50"/>
  <c r="K4" i="50" s="1"/>
  <c r="E5" i="50"/>
  <c r="K5" i="50" s="1"/>
  <c r="E21" i="50"/>
  <c r="K21" i="50" s="1"/>
  <c r="K16" i="50"/>
  <c r="E32" i="50"/>
  <c r="K32" i="50" s="1"/>
  <c r="E48" i="46"/>
  <c r="K48" i="46" s="1"/>
  <c r="E24" i="46"/>
  <c r="E39" i="53"/>
  <c r="E13" i="53"/>
  <c r="K13" i="53" s="1"/>
  <c r="I90" i="52" l="1"/>
  <c r="F31" i="53"/>
  <c r="I31" i="53" s="1"/>
  <c r="D39" i="53"/>
  <c r="F83" i="46"/>
  <c r="I83" i="46" s="1"/>
  <c r="H72" i="46"/>
  <c r="I72" i="46" s="1"/>
  <c r="F12" i="53"/>
  <c r="F5" i="53"/>
  <c r="I5" i="53" s="1"/>
  <c r="F8" i="53"/>
  <c r="I8" i="53" s="1"/>
  <c r="D13" i="53"/>
  <c r="J13" i="53" s="1"/>
  <c r="J5" i="53" l="1"/>
  <c r="K5" i="53"/>
  <c r="J8" i="53"/>
  <c r="K8" i="53"/>
  <c r="J31" i="53"/>
  <c r="K31" i="53"/>
  <c r="J83" i="46"/>
  <c r="K83" i="46"/>
  <c r="K72" i="46"/>
  <c r="J72" i="46"/>
  <c r="J90" i="52"/>
  <c r="K90" i="52"/>
  <c r="F26" i="53"/>
  <c r="I26" i="53" s="1"/>
  <c r="J26" i="53" l="1"/>
  <c r="K26" i="53"/>
  <c r="G37" i="53"/>
  <c r="I37" i="53" s="1"/>
  <c r="J37" i="53" l="1"/>
  <c r="K37" i="53"/>
  <c r="F80" i="46"/>
  <c r="I80" i="46" s="1"/>
  <c r="K80" i="46" l="1"/>
  <c r="J80" i="46"/>
  <c r="G10" i="46"/>
  <c r="F10" i="46"/>
  <c r="F9" i="46"/>
  <c r="F8" i="46"/>
  <c r="D48" i="46"/>
  <c r="J48" i="46" s="1"/>
  <c r="F63" i="52" l="1"/>
  <c r="I63" i="52" s="1"/>
  <c r="G62" i="52"/>
  <c r="F62" i="52"/>
  <c r="I62" i="52" l="1"/>
  <c r="K63" i="52"/>
  <c r="J63" i="52"/>
  <c r="I41" i="53"/>
  <c r="I39" i="53"/>
  <c r="C31" i="47"/>
  <c r="C28" i="47"/>
  <c r="C26" i="47"/>
  <c r="C21" i="47"/>
  <c r="F9" i="50"/>
  <c r="I9" i="50" s="1"/>
  <c r="J9" i="50" s="1"/>
  <c r="C9" i="57" l="1"/>
  <c r="K62" i="52"/>
  <c r="J62" i="52"/>
  <c r="J41" i="53"/>
  <c r="K41" i="53"/>
  <c r="J39" i="53"/>
  <c r="K39" i="53"/>
  <c r="F10" i="50"/>
  <c r="I10" i="50" s="1"/>
  <c r="F7" i="50"/>
  <c r="I7" i="50" s="1"/>
  <c r="J7" i="50" s="1"/>
  <c r="F26" i="50"/>
  <c r="I26" i="50" s="1"/>
  <c r="J10" i="50" l="1"/>
  <c r="K10" i="50"/>
  <c r="E9" i="57"/>
  <c r="G9" i="57"/>
  <c r="K26" i="50"/>
  <c r="J26" i="50"/>
  <c r="G79" i="46"/>
  <c r="F79" i="46"/>
  <c r="I79" i="46" s="1"/>
  <c r="F71" i="46"/>
  <c r="I71" i="46" s="1"/>
  <c r="I91" i="46"/>
  <c r="K91" i="46" s="1"/>
  <c r="F58" i="46"/>
  <c r="I58" i="46" s="1"/>
  <c r="E4" i="57" l="1"/>
  <c r="G4" i="57"/>
  <c r="K58" i="46"/>
  <c r="J58" i="46"/>
  <c r="K71" i="46"/>
  <c r="J71" i="46"/>
  <c r="J79" i="46"/>
  <c r="K79" i="46"/>
  <c r="J91" i="46"/>
  <c r="G47" i="52" l="1"/>
  <c r="F47" i="52"/>
  <c r="I47" i="52" s="1"/>
  <c r="H34" i="52"/>
  <c r="G34" i="52"/>
  <c r="F34" i="52"/>
  <c r="F44" i="52"/>
  <c r="I44" i="52" s="1"/>
  <c r="K47" i="52" l="1"/>
  <c r="J47" i="52"/>
  <c r="K44" i="52"/>
  <c r="J44" i="52"/>
  <c r="I34" i="52"/>
  <c r="J34" i="52" l="1"/>
  <c r="K34" i="52"/>
  <c r="E12" i="50" l="1"/>
  <c r="K12" i="50" s="1"/>
  <c r="E9" i="50"/>
  <c r="K9" i="50" s="1"/>
  <c r="E6" i="50"/>
  <c r="K6" i="50" s="1"/>
  <c r="I20" i="53"/>
  <c r="E7" i="50" l="1"/>
  <c r="K7" i="50" s="1"/>
  <c r="J20" i="53"/>
  <c r="K20" i="53"/>
  <c r="E8" i="50"/>
  <c r="K8" i="50" s="1"/>
  <c r="E11" i="50"/>
  <c r="K11" i="50" s="1"/>
  <c r="G12" i="53"/>
  <c r="H12" i="53"/>
  <c r="F14" i="53"/>
  <c r="G14" i="53"/>
  <c r="H14" i="53"/>
  <c r="I14" i="53" l="1"/>
  <c r="I12" i="53"/>
  <c r="I4" i="53"/>
  <c r="I16" i="53"/>
  <c r="I61" i="46"/>
  <c r="I36" i="46"/>
  <c r="I24" i="46"/>
  <c r="K24" i="46" s="1"/>
  <c r="I30" i="46"/>
  <c r="I29" i="46"/>
  <c r="I31" i="46"/>
  <c r="I32" i="46"/>
  <c r="I27" i="46"/>
  <c r="I28" i="46"/>
  <c r="I33" i="46"/>
  <c r="I34" i="46"/>
  <c r="I25" i="46"/>
  <c r="I26" i="46"/>
  <c r="I23" i="46"/>
  <c r="K23" i="46" s="1"/>
  <c r="I11" i="46"/>
  <c r="I8" i="46"/>
  <c r="I9" i="46"/>
  <c r="I10" i="46"/>
  <c r="I4" i="46"/>
  <c r="I5" i="46"/>
  <c r="I6" i="46"/>
  <c r="I12" i="46"/>
  <c r="K12" i="46" s="1"/>
  <c r="I13" i="46"/>
  <c r="I14" i="46"/>
  <c r="I21" i="46"/>
  <c r="I20" i="46"/>
  <c r="I15" i="46"/>
  <c r="I16" i="46"/>
  <c r="I17" i="46"/>
  <c r="I19" i="46"/>
  <c r="K19" i="46" s="1"/>
  <c r="I18" i="46"/>
  <c r="I7" i="46"/>
  <c r="K7" i="46" s="1"/>
  <c r="I4" i="52"/>
  <c r="I19" i="52"/>
  <c r="I48" i="52"/>
  <c r="I60" i="52"/>
  <c r="I67" i="52"/>
  <c r="I78" i="52"/>
  <c r="J14" i="53" l="1"/>
  <c r="K14" i="53"/>
  <c r="J12" i="53"/>
  <c r="K12" i="53"/>
  <c r="J78" i="52"/>
  <c r="K78" i="52"/>
  <c r="J67" i="52"/>
  <c r="K67" i="52"/>
  <c r="J60" i="52"/>
  <c r="K60" i="52"/>
  <c r="J48" i="52"/>
  <c r="K48" i="52"/>
  <c r="J19" i="52"/>
  <c r="K19" i="52"/>
  <c r="J4" i="52"/>
  <c r="K4" i="52"/>
  <c r="J61" i="46"/>
  <c r="K61" i="46"/>
  <c r="J36" i="46"/>
  <c r="K36" i="46"/>
  <c r="J29" i="46"/>
  <c r="K29" i="46"/>
  <c r="J25" i="46"/>
  <c r="K25" i="46"/>
  <c r="J27" i="46"/>
  <c r="K27" i="46"/>
  <c r="J30" i="46"/>
  <c r="K30" i="46"/>
  <c r="J26" i="46"/>
  <c r="K26" i="46"/>
  <c r="J34" i="46"/>
  <c r="K34" i="46"/>
  <c r="J32" i="46"/>
  <c r="K32" i="46"/>
  <c r="J28" i="46"/>
  <c r="K28" i="46"/>
  <c r="J33" i="46"/>
  <c r="K33" i="46"/>
  <c r="J31" i="46"/>
  <c r="K31" i="46"/>
  <c r="J17" i="46"/>
  <c r="K17" i="46"/>
  <c r="J6" i="46"/>
  <c r="K6" i="46"/>
  <c r="J14" i="46"/>
  <c r="K14" i="46"/>
  <c r="J8" i="46"/>
  <c r="K8" i="46"/>
  <c r="J18" i="46"/>
  <c r="K18" i="46"/>
  <c r="J15" i="46"/>
  <c r="K15" i="46"/>
  <c r="J13" i="46"/>
  <c r="K13" i="46"/>
  <c r="J4" i="46"/>
  <c r="K4" i="46"/>
  <c r="J11" i="46"/>
  <c r="K11" i="46"/>
  <c r="J21" i="46"/>
  <c r="K21" i="46"/>
  <c r="J9" i="46"/>
  <c r="K9" i="46"/>
  <c r="J16" i="46"/>
  <c r="K16" i="46"/>
  <c r="J5" i="46"/>
  <c r="K5" i="46"/>
  <c r="J20" i="46"/>
  <c r="K20" i="46"/>
  <c r="J10" i="46"/>
  <c r="K10" i="46"/>
  <c r="K57" i="55"/>
  <c r="F8" i="57" s="1"/>
  <c r="J16" i="53"/>
  <c r="K16" i="53"/>
  <c r="J4" i="53"/>
  <c r="K4" i="53"/>
  <c r="J7" i="46"/>
  <c r="J23" i="46"/>
  <c r="J19" i="46"/>
  <c r="J12" i="46"/>
  <c r="K88" i="52" l="1"/>
  <c r="K100" i="52"/>
  <c r="K93" i="46"/>
  <c r="J100" i="52"/>
  <c r="K42" i="53"/>
  <c r="J42" i="53"/>
  <c r="E8" i="57"/>
  <c r="K35" i="50"/>
  <c r="F5" i="57" s="1"/>
  <c r="D21" i="50"/>
  <c r="J21" i="50" s="1"/>
  <c r="J16" i="50"/>
  <c r="D32" i="50"/>
  <c r="J32" i="50" s="1"/>
  <c r="E5" i="57" l="1"/>
  <c r="E6" i="57"/>
  <c r="F7" i="57"/>
  <c r="E10" i="57"/>
  <c r="D19" i="50"/>
  <c r="J19" i="50" l="1"/>
  <c r="J35" i="50" s="1"/>
  <c r="D5" i="57" s="1"/>
  <c r="D24" i="46"/>
  <c r="J24" i="46" s="1"/>
  <c r="J93" i="46" s="1"/>
  <c r="D7" i="57" l="1"/>
  <c r="G7" i="57" s="1"/>
  <c r="C5" i="57"/>
  <c r="G5" i="57"/>
  <c r="C10" i="57" l="1"/>
  <c r="G10" i="57"/>
  <c r="C6" i="57"/>
  <c r="G6" i="57"/>
  <c r="J57" i="55"/>
  <c r="D8" i="57" s="1"/>
  <c r="C8" i="57" l="1"/>
  <c r="G8" i="57"/>
  <c r="C34" i="47"/>
  <c r="H9" i="58" l="1"/>
  <c r="H16" i="58"/>
  <c r="I16" i="58" s="1"/>
  <c r="H17" i="58"/>
  <c r="I17" i="58" s="1"/>
  <c r="H18" i="58"/>
  <c r="I18" i="58" s="1"/>
  <c r="H6" i="58"/>
  <c r="I6" i="58" s="1"/>
  <c r="H7" i="58"/>
  <c r="I7" i="58" s="1"/>
  <c r="H11" i="58"/>
  <c r="I11" i="58" s="1"/>
  <c r="H5" i="58"/>
  <c r="I5" i="58" s="1"/>
  <c r="H14" i="58"/>
  <c r="I14" i="58" s="1"/>
  <c r="H15" i="58"/>
  <c r="I15" i="58" s="1"/>
  <c r="H12" i="58"/>
  <c r="I12" i="58" s="1"/>
  <c r="H8" i="58"/>
  <c r="I8" i="58" s="1"/>
  <c r="H10" i="58"/>
  <c r="I10" i="58" s="1"/>
  <c r="H13" i="58"/>
  <c r="C11" i="57"/>
  <c r="F3" i="57"/>
  <c r="I13" i="58" l="1"/>
  <c r="I19" i="58"/>
  <c r="I9" i="58"/>
  <c r="I20" i="58"/>
  <c r="E11" i="57"/>
  <c r="D3" i="57"/>
  <c r="D11" i="57" s="1"/>
  <c r="F11" i="57" l="1"/>
  <c r="G3" i="57"/>
  <c r="G11" i="57" s="1"/>
</calcChain>
</file>

<file path=xl/sharedStrings.xml><?xml version="1.0" encoding="utf-8"?>
<sst xmlns="http://schemas.openxmlformats.org/spreadsheetml/2006/main" count="1426" uniqueCount="982">
  <si>
    <t>UN</t>
  </si>
  <si>
    <t>1.0</t>
  </si>
  <si>
    <t>1.1</t>
  </si>
  <si>
    <t>DESCRIÇÃO</t>
  </si>
  <si>
    <t>un</t>
  </si>
  <si>
    <t>2.0</t>
  </si>
  <si>
    <t>2.1</t>
  </si>
  <si>
    <t>2.2</t>
  </si>
  <si>
    <t>QUANT.</t>
  </si>
  <si>
    <t>1.2</t>
  </si>
  <si>
    <t>1.3</t>
  </si>
  <si>
    <t>BASE</t>
  </si>
  <si>
    <t>CUSTO UNITÁRIO (R$)</t>
  </si>
  <si>
    <t>Mão de obra</t>
  </si>
  <si>
    <t>Porteiro diurno</t>
  </si>
  <si>
    <t>1.5</t>
  </si>
  <si>
    <t>1.6</t>
  </si>
  <si>
    <t>1.7</t>
  </si>
  <si>
    <t>1.8</t>
  </si>
  <si>
    <t>1.9</t>
  </si>
  <si>
    <t>1.10</t>
  </si>
  <si>
    <t>Auxiliar de manutenção predial</t>
  </si>
  <si>
    <t>Grupo "A"</t>
  </si>
  <si>
    <t>Grupo "B"</t>
  </si>
  <si>
    <t>Grupo "C"</t>
  </si>
  <si>
    <t>Grupo "D"</t>
  </si>
  <si>
    <t>Grupo "E"</t>
  </si>
  <si>
    <t>Grupo "F"</t>
  </si>
  <si>
    <t>PERCENTUAL</t>
  </si>
  <si>
    <t>A.1</t>
  </si>
  <si>
    <t>A.2</t>
  </si>
  <si>
    <t>A.3</t>
  </si>
  <si>
    <t>A.4</t>
  </si>
  <si>
    <t>A.5</t>
  </si>
  <si>
    <t>A.6</t>
  </si>
  <si>
    <t>A.7</t>
  </si>
  <si>
    <t>A.8</t>
  </si>
  <si>
    <t>COMPOSIÇÃO DE ENCARGOS SOCIAIS</t>
  </si>
  <si>
    <t>SEBRAE</t>
  </si>
  <si>
    <t>INCRA</t>
  </si>
  <si>
    <t>Faltas Legais</t>
  </si>
  <si>
    <t>Aviso Prévio Trabalhado</t>
  </si>
  <si>
    <t>13º Salário</t>
  </si>
  <si>
    <t>Aviso Prévio Indenizado</t>
  </si>
  <si>
    <t>Indenização Adicional</t>
  </si>
  <si>
    <t>Lucro</t>
  </si>
  <si>
    <t>ISS</t>
  </si>
  <si>
    <t>PIS</t>
  </si>
  <si>
    <t>COFINS</t>
  </si>
  <si>
    <t>PERICULOSIDADE 30%</t>
  </si>
  <si>
    <t>CUSTO UNITÁRIO 1 (R$)</t>
  </si>
  <si>
    <t>CUSTO UNITÁRIO 2 (R$)</t>
  </si>
  <si>
    <t>CUSTO UNITÁRIO 3 (R$)</t>
  </si>
  <si>
    <t>CUSTO UNITÁRIO MÉDIO (R$)</t>
  </si>
  <si>
    <t>1.4</t>
  </si>
  <si>
    <t>Mensageiro motorizado</t>
  </si>
  <si>
    <t>Recepcionistas e teleatendentes</t>
  </si>
  <si>
    <t>Carregador de volumes</t>
  </si>
  <si>
    <t>Álcool em gel 70%, composição: álcool etílico,
polímero, benzoato de denatônio, neutralizante e
água; forma líquida gelatinosa, tipo glicerinado. Galão com 5 litros.</t>
  </si>
  <si>
    <t>lt</t>
  </si>
  <si>
    <t>Álcool etílico hidratado líquido 70° INPM.  Frasco com 1 litro.</t>
  </si>
  <si>
    <t>kit</t>
  </si>
  <si>
    <t>Suporte em velcro com flange para enceradeira de 350mm</t>
  </si>
  <si>
    <t>Suporte em velcro com flange para enceradeira de 400mm</t>
  </si>
  <si>
    <t>Escova de nylon com flange para enceradeira industrial de 400mm.</t>
  </si>
  <si>
    <t>m</t>
  </si>
  <si>
    <t>kg</t>
  </si>
  <si>
    <t>Enrolador e suporte para mangueiras sem rodinha, braços metálicos, com carretel em polipropileno até 60 metros. Ref. Tramontina 78594000</t>
  </si>
  <si>
    <t>Enrolador e suporte para mangueiras com rodinha, com carretel em polipropileno até 60 metros. Ref. Tramontina 78595000</t>
  </si>
  <si>
    <t>Mangueira emborrachada PU flexível 300 PSI 3/4"</t>
  </si>
  <si>
    <t xml:space="preserve">Conjunto de engate e esguicho para mangueira de 3/4". Ref. Tramontina 78580610 </t>
  </si>
  <si>
    <t>Conector macho de plástico para engate rápido de 3/4". Ref. Tramontina 78502750</t>
  </si>
  <si>
    <t>Cimento impermeabilizante cristalizante de alta resistência à pressão negativa e positiva. Ref. Veda Água Impermeabilizantes Cristal</t>
  </si>
  <si>
    <t>Selador hidro-repelente Hidrox. Ref. Veda Água Impermeabilizantes Hidrox AC-913</t>
  </si>
  <si>
    <t>Pacote com 100 sacos de lixo de espessura comum, com capacidade de 40 litros.</t>
  </si>
  <si>
    <t>Pacote com 100 sacos de lixo de espessura comum, com capacidade de 60 litros.</t>
  </si>
  <si>
    <t>Pacote com 100 sacos de lixo de espessura comum, com capacidade de 20 litros.</t>
  </si>
  <si>
    <t>pc</t>
  </si>
  <si>
    <t>Pacote com 100 sacos de lixo de espessura reforçada, com capacidade de 200 litros.</t>
  </si>
  <si>
    <t>Pacote com 100 sacos de lixo de espessura reforçada, com capacidade de 100 litros.</t>
  </si>
  <si>
    <t>Vassoura colonial de palha industrial reforçada com 5 fios</t>
  </si>
  <si>
    <t>Limpador de vidros anti-embaçante concentrado para diluição na proporção 1:10 ou 1:20, embalagem com 5 litros. Ref. Prímula 5L.</t>
  </si>
  <si>
    <t>gal</t>
  </si>
  <si>
    <t>Sabão líquido com amaciente para limpeza de panos em máquina de lavar, galão com 50 litros. Ref. New Limp 50 litros.</t>
  </si>
  <si>
    <t>Galão de plástico em PEAD com capacidade de 50 litros com dois bocais, alças injetadas e tampas plástica auto-lacre para diluição de produtos de limpeza.</t>
  </si>
  <si>
    <t>bd</t>
  </si>
  <si>
    <t>Escova para vaso sanitário de cerdas circulares com pote.</t>
  </si>
  <si>
    <t>Escada metálica de alumínio de 5 degraus, com patamar de polipropileno e travas laterais. Ref. Botafogo ESC0064</t>
  </si>
  <si>
    <t>Escada metálica de alumínio de 6 degraus, com patamar de polipropileno e travas laterais. Ref. Botafogo ESC0065</t>
  </si>
  <si>
    <t>Escada metálica de alumínio de 7 degraus, com patamar de polipropileno e travas laterais. Ref. Botafogo ESC0066</t>
  </si>
  <si>
    <t>Locação de bens</t>
  </si>
  <si>
    <t>Cera acrílica para aumentar a durabilidade e resistência ao alto tráfego, embalagem de 50 litros. Ref. Master Start.</t>
  </si>
  <si>
    <t>Detergente ácido desincrustante para rejuntes concentrado, galão de 5 litros. Ref. Start CP3000</t>
  </si>
  <si>
    <t>Detergente alcalino para remoção de sujeiras orgânicas para limpeza das garagens cobertas sem agredir pinturas das faixas, galão com 50 litros. Ref. Start Desengrax DL</t>
  </si>
  <si>
    <t>Desodorizador de ambiente aerossol 360ml. Ref. Bom Ar Wick</t>
  </si>
  <si>
    <t>Esponja de aço com 8 unidades, peso 60g. Ref. Bom Bril</t>
  </si>
  <si>
    <t>Pano de copa liso 100% algodão, dimensões 85x68cm. Ref. Copalimpa 31422.</t>
  </si>
  <si>
    <t>Pano de prato liso embanhado 100% algodão, dimensões 68x48cm. Ref. Copalimpa 31878.</t>
  </si>
  <si>
    <t>Refil pó abrasivo para remoção de sujeiras, versão em balde de 3kg. Ref. Sapólio Radium 3kg.</t>
  </si>
  <si>
    <t>Desentupidor sanitário com cabo plástico. Ref. Bettanin BT479</t>
  </si>
  <si>
    <t>Desentupidor de encanamentos de metal tipo Tufão, comprimento de 15 metros. Ref. Overtime Tufão 3</t>
  </si>
  <si>
    <t>Desentupidor de encanamentos de metal tipo Tufão, comprimento de 2,5 metros. Ref. Overtime Tufão 1</t>
  </si>
  <si>
    <t>Desentupidor de pia liso. Ref. Bettanin Noviça 499</t>
  </si>
  <si>
    <t>Desentupidor de pia liso. Ref. Bettanin Noviça 489</t>
  </si>
  <si>
    <t>Extensão elétrica com cabo PP de 2,5mm², suporte circular com base metálica, comprimento de 30 metros. Ref. Daneva Maxi Pro 1547</t>
  </si>
  <si>
    <t>Sabonte antibacteriano em barras de 90g. Ref. Protex Suave</t>
  </si>
  <si>
    <t>fd</t>
  </si>
  <si>
    <t>Pasta para limpeza pesada à base de glicerina e agente mineral. Ref. Pasta Cristal 500g.</t>
  </si>
  <si>
    <t>Removedor de manchas de óleo pastoso com 1000ml ou 1kg. Ref. Spot Remover ou PisoClean Pek Tira Óleo.</t>
  </si>
  <si>
    <t>Removedor de sujeiras e manchas de etiquetas, óleo e chiclete, galão com 5 litros. Ref. Quimatic Tira Grude</t>
  </si>
  <si>
    <t>Refil de limpador multi-uso, galão de 4 litros. Ref. Veja Multi-Uso galão de 4 litros.</t>
  </si>
  <si>
    <t>Limpador multi-uso geral, frasco de 750ml. Ref. Veja Multi-uso 750ml</t>
  </si>
  <si>
    <t>Detergente alcalino para limpeza de pisos e paredes, galão com 50 litros para diluição 1:5 ou 1:10. Ref. Start Mágico</t>
  </si>
  <si>
    <t>Detergente ácido desincrustante para pedras, galão de 50 litros. Ref. Start Pedrex</t>
  </si>
  <si>
    <t xml:space="preserve">Desinfetante de uso geral bactericida para limpeza de sanitários, concentrado em gel, galão de 5 litros. Ref. Start Gel Azulim. </t>
  </si>
  <si>
    <t>Detergente desincrustrante para coifas, galão de 5 litros. Ref. Start Start Grill</t>
  </si>
  <si>
    <t>Esponja de fibra verde Nylon, dimensões 102x260mm, com espessura de 1,5 cm, pacote com 10 unidades. Ref. Scotch Brite</t>
  </si>
  <si>
    <t>Esponja abrasiva dupla face 110x75x20 mm, pacote com 10 unidades. Ref. Scotch Brite 3M</t>
  </si>
  <si>
    <t>Pacote com flanelas brancas 100% algodão, tamanho pequeno, dimensões 30x40 cm, cor branca, pacote com 120 unidades.</t>
  </si>
  <si>
    <t>Pacote com flanelas brancas 100% algodão, tamanho médio, dimensões 30x50 cm, cor branca, pacote com 120 unidades</t>
  </si>
  <si>
    <t>Detergente automotivo biodegradável para limpeza de pinturas, galão de 20 litros. Ref. Start SH1000</t>
  </si>
  <si>
    <t>Hidratante automotivo para couro, galão de 5 litros. Ref. 3M Revitaliza Couro</t>
  </si>
  <si>
    <t>Galão de plástico (bombona) em Polietileno com capacidade de 5 litros, alça para transporte, cor translúcida e tampa plástica para armazenamento e transporte de produtos químicos.</t>
  </si>
  <si>
    <t>Enceradeira industrial de 400mm, tensão nominal de 220V e motor de 0,75 cv, cabo elétrico de 10 metros, tanque opcional de 5 litros.</t>
  </si>
  <si>
    <t>Enceradeira industrial de 350mm, tensão nominal de 220V e motor de 0,75 cv, cabo elétrico de 10 metros, tanque opcional de 5 litros.</t>
  </si>
  <si>
    <t>Balde de polipropileno coloridos, com alça resistente, capacidade 4 litros, bordas reforçadas, com suporte de mão no fundo do balde. Ref. Bralimpia BA04AM, BA04AZ, BA04VD e BA04VM.</t>
  </si>
  <si>
    <t>Balde de polipropileno, com alça resistente, capacidade 15 litros, formato cônico, bordas reforçadas, com suporte de mão no fundo do balde. Ref. Bralimpia BA15AZ ou BA15VM.</t>
  </si>
  <si>
    <t>Ferramentas de limpeza predial</t>
  </si>
  <si>
    <t>Placa sinalizadora para piso. Dizeres "Cuidado: em manutenção". Ref. Bralimpia PL2003</t>
  </si>
  <si>
    <t>Placa sinalizadora para piso. Dizeres "Banheiro fora de uso". Ref. Bralimpia PL2002</t>
  </si>
  <si>
    <t>Placa sinalizadora para piso. Dizeres "Cuidado Piso Molhado". Ref. Bralimpia PL2000</t>
  </si>
  <si>
    <t>Raspador multi-uso para vidros de 10 cm com cabo em polipropileno de 15cm. Ref. Bralimpia RM100</t>
  </si>
  <si>
    <t>Jogo de 10 lâminas para raspador multi uso. Ref. Bralimpia LR800A</t>
  </si>
  <si>
    <t>Carrinho coletor de lixo em polipropileno com rodas e capacidade de 120 litros, cor verde (material reciclável). Ref. Bralimpia C120VD.</t>
  </si>
  <si>
    <t>Carrinho coletor de lixo em polipropileno com rodas e capacidade de 120 litros, cor preta (material orgânico). Ref. Bralimpia C120PR.</t>
  </si>
  <si>
    <t>Pulverizador spray em polipropileno, com suporte para mãos, capacidade de 500ml, cor transparente. Ref. Bettanin SuperPro SP9348 ou Bralimpia PV2001</t>
  </si>
  <si>
    <t>Transporte e armazenamento de resíduos</t>
  </si>
  <si>
    <t>Produtos químicos</t>
  </si>
  <si>
    <t>Produtos descartáveis</t>
  </si>
  <si>
    <t>Acessórios descartáveis para enceradeiras</t>
  </si>
  <si>
    <t>Frascos e utensilios para armazenamento de produtos químicos</t>
  </si>
  <si>
    <t>Carros funcionais e acessórios</t>
  </si>
  <si>
    <t>Mops, vassouras e acessórios</t>
  </si>
  <si>
    <t>Limpador líquido para alumínio em geral, galão de 5 litros. Ref. Start Alumil</t>
  </si>
  <si>
    <t>Pasta para polir e remover manchas em inox. Ref. Tramontina 94537001</t>
  </si>
  <si>
    <t>Aspirador de pó e líquido, tensão nominal de 220V, capacidade de 20 litros, potência nominal superior a 1.300W. Ref. Electrolux GT3000</t>
  </si>
  <si>
    <t>Kit com nove sacos descartáveis para aspirador de pó de 20L com potência nominal de 1.300W. Ref. Electrolux CSE20</t>
  </si>
  <si>
    <t>Filtro permanente para aspirador de pó/líquido com potência nominal de 1.300W. Ref. Electrolux 65701001.</t>
  </si>
  <si>
    <t>Carro funcional com rodas para limpeza completo com acessórios, contendo no mínimo: um balde doblô, um cabo telescópio, uma haste plástica, um refil loop, uma placa sinalizadora, uma pá pop e um conjunto mop pó. Ref. Kit n° 03 da Bralimpia NYKT03. *APRESENTAR COMPOSIÇÃO COM O CUSTO UNITÁRIO DE TODOS OS ITENS UMA VEZ QUE OS MESMOS PODERÃO SER SOLICITADOS SEPARADAMENTE COMO PEÇAS DE REPOSIÇÃO.*</t>
  </si>
  <si>
    <t>Carro funcional com rodas para limpeza completo com acessórios, contendo no mínimo: um conjunto doblo, um cabo telescópio, uma haste plástica, um refil loop, uma placa sinalizadora, dois pulverizadores e um espanador eletrostático. Ref. Kit n° 02 da Bralimpia NYKT02.  *APRESENTAR COMPOSIÇÃO COM O CUSTO UNITÁRIO DE TODOS OS ITENS UMA VEZ QUE OS MESMOS PODERÃO SER SOLICITADOS SEPARADAMENTE COMO PEÇAS DE REPOSIÇÃO.*</t>
  </si>
  <si>
    <t>Carro funcional com rodas balde espremedor. Ref. Bralimpia NY108.  *APRESENTAR COMPOSIÇÃO COM O CUSTO UNITÁRIO DE TODOS OS ITENS UMA VEZ QUE OS MESMOS PODERÃO SER SOLICITADOS SEPARADAMENTE COMO PEÇAS DE REPOSIÇÃO.*</t>
  </si>
  <si>
    <t>Extensão telescópica de 3 metros em alumínio anodizado. Ref. Bralimpia EX300.</t>
  </si>
  <si>
    <t>Extensão telescópica de 6 metros em alumínio anodizado. Ref. Bralimpia EX600.</t>
  </si>
  <si>
    <t>Extensão telescópica de 9 metros em alumínio anodizado. Ref. Bralimpia EX900.</t>
  </si>
  <si>
    <t>Produtos têxteis</t>
  </si>
  <si>
    <t>Luva de reposição para lavadores de vidro 25cm. Ref. Braslimpia LL250</t>
  </si>
  <si>
    <t>Luva de reposição para lavadores de vidro 45cm. Ref. Braslimpia LL450</t>
  </si>
  <si>
    <t>Escova manual 12cm. Ref. Braslimpia ES02AM</t>
  </si>
  <si>
    <t>Combinado limpador de vidros de 25cm com cabo de 60cm e guias removíveis. Ref. Bralimpia CB250</t>
  </si>
  <si>
    <t>Jogo de prolongadores para limpador de vidro de 45cm. Ref. Bralimpia PC450</t>
  </si>
  <si>
    <t>Rodo de metal com lâmina de borracha natural expandida duplo de 55cm. Ref. Bralimpia 5570B</t>
  </si>
  <si>
    <t>Rodo de metal com lâmina de borracha natural expandida duplo de 45cm. Ref. Bralimpia 4570B</t>
  </si>
  <si>
    <t>Rodo de metal twister com cabo e lâmina de borracha natural expandida duplo de 48cm. Ref. Bralimpia RT451</t>
  </si>
  <si>
    <t>Refil lâmina rodo Twister 48cm. Ref. Bralimpia RT400</t>
  </si>
  <si>
    <t>Cabo de alumínio fosco sem rosca com diâmetro de 22mm. Ref. Bralimpia CM140A</t>
  </si>
  <si>
    <t>Rodo com lâmina de borracha de 65cm. Ref. Bralimpia RN65AM</t>
  </si>
  <si>
    <t>Suporte limpa tudo em polipropileno ultra resistente com escova para limpeza pesada. Ref. Bralimpia SE60AM</t>
  </si>
  <si>
    <t>Suporte limpa tudo em polipropileno ultra resistente com escova para limpeza macia. Ref. Bralimpia SE70AM</t>
  </si>
  <si>
    <t>Suporte limpa tudo em polipropileno resistente para fibras. Ref. Bralimpia SE31AM</t>
  </si>
  <si>
    <t>Limpador e abrilhantador de superfícies e objetos em inoxidável, galão de 5 litros, para diluição em até 20 partes de água. Ref. Renko Limpa Inox 5L.</t>
  </si>
  <si>
    <t>Conjunto de balde aplicador com escorredor. Ref. Bralimpia BC200</t>
  </si>
  <si>
    <t>Aplicador de cera com comprimento de 45cm com cabo. Ref. Bralimpia AC450</t>
  </si>
  <si>
    <t>Refil lavável e resistente para aplicador de cera. Ref. Bralimpia AC451</t>
  </si>
  <si>
    <t>Jogo de telas para balde aplicador de cera. Ref. Bralimpia BT201</t>
  </si>
  <si>
    <t>Espanador eletrostático com cabo angular. Ref. Bralimpia RE100AM</t>
  </si>
  <si>
    <t>Espanador eletrostático padrão. Ref. Bralimpia EE605AM</t>
  </si>
  <si>
    <t>Refil para Mop Pó de algodão, comprimento de 60cm. Ref. Bralimpia RC600</t>
  </si>
  <si>
    <t>Refil para Mop Pó de acrílico, comprimento de 60cm. Ref. Bralimpia RP600</t>
  </si>
  <si>
    <t>Refil para Mop úmido microfibra, comprimento de 60cm. Ref. Bralimpia RLM4AM</t>
  </si>
  <si>
    <t>Limpador perfumado, galão de 5 litros. Ref. Start Startlim</t>
  </si>
  <si>
    <t>Disco limpador verde de 400mm para enceradeira industrial. Ref. Super Pro Bettanin SP9841</t>
  </si>
  <si>
    <t>Disco removedor preto de 350mm para enceradeira industrial. Ref. Super Pro Bettanin SP9635</t>
  </si>
  <si>
    <t>Disco removedor preto  de 400mm para enceradeira industrial. Ref. Super Pro Bettanin SP9641</t>
  </si>
  <si>
    <t>Disco restaurador vermelho de 350mm para enceradeira industrial. Ref. Super Pro Bettanin SP11035</t>
  </si>
  <si>
    <t>Disco restaurador vermelho de 400mm para enceradeira industrial. Ref. Super Pro Bettanin SP11041</t>
  </si>
  <si>
    <t>Disco polidor marrom de 350mm para enceradeira industrial. Ref. Super Pro Bettanin SP9735</t>
  </si>
  <si>
    <t>Disco polidor marrom de 400mm para enceradeira industrial. Ref. Super Pro Bettanin SP9741</t>
  </si>
  <si>
    <t>Disco limpador verde  de 350mm para enceradeira industrial. Ref. Super Pro Bettanin SP9835</t>
  </si>
  <si>
    <t>Disco lustrador branco de 350mm para enceradeira industrial. Ref. Super Pro Bettanin SP9935</t>
  </si>
  <si>
    <t>Disco lustrador branco de 400mm para enceradeira industrial. Ref. Super Pro Bettanin SP9941</t>
  </si>
  <si>
    <t>Limpeza contínua de pisos</t>
  </si>
  <si>
    <t>Auxílio transporte</t>
  </si>
  <si>
    <t>Auxiliar de limpeza geral</t>
  </si>
  <si>
    <t>Óculos de segurança incolor com lentes em policarbonato anti-risco e anti-embaçante, com proteção contra raios UVA e UVB e proteção lateral (perfurado). Ref. CarboGrafite 010130710</t>
  </si>
  <si>
    <t>Touca de segurança tipo árabe com aba em helanca com fechamento em velco. Ref. Nexus</t>
  </si>
  <si>
    <t>Chapeu de palha com aba grande. Ref. Teknoluvas 4434</t>
  </si>
  <si>
    <t>Protetor solar FPS 60 Bombona, frasco de 2 litros.</t>
  </si>
  <si>
    <t>Máscara respiratória sem válvula PFF1. Pacote com 100 unidades.</t>
  </si>
  <si>
    <t>Uniformes</t>
  </si>
  <si>
    <t>EPIs</t>
  </si>
  <si>
    <t>Tratamento de pisos</t>
  </si>
  <si>
    <t xml:space="preserve">Pacote de luvas látex nitrílica sem pó com 100 unidades, tamanhos M, P e G. Ref. Descarpack </t>
  </si>
  <si>
    <t>Bota impermeável de PVC com cano curto, antiderrapante. Ref. Vonder</t>
  </si>
  <si>
    <t>Bota impermeável de PVC com cano médio, antiderrapante. Ref. Vonder</t>
  </si>
  <si>
    <t>Sapato de EVA antiderrapante, leve, bactericida, impermeável, resistente a óleo, fabricado em EVA. Ref. Soft Works 2.</t>
  </si>
  <si>
    <t>Botina latego, com cadarço, biqueira de plástico, solado em PVC, cor preta. Ref. Ecosafety Nobuck PS195</t>
  </si>
  <si>
    <t>Touca sanfonada descartável, pacote com 100 unidades.</t>
  </si>
  <si>
    <t>Luva de vinil descartável transparente, pacote com 100 unidades.</t>
  </si>
  <si>
    <t>Capa de chuva amarela com forro. Ref. Safety Delta</t>
  </si>
  <si>
    <t>Par de luvas de silicone de alta temperatura</t>
  </si>
  <si>
    <t>par</t>
  </si>
  <si>
    <t>cj</t>
  </si>
  <si>
    <t>1.11</t>
  </si>
  <si>
    <t>CUSTO TOTAL MENSAL (R$)</t>
  </si>
  <si>
    <t>4.0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</si>
  <si>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</si>
  <si>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</si>
  <si>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</si>
  <si>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</si>
  <si>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</si>
  <si>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</si>
  <si>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</si>
  <si>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</si>
  <si>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</si>
  <si>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5.0</t>
  </si>
  <si>
    <t>5.1</t>
  </si>
  <si>
    <t>5.2</t>
  </si>
  <si>
    <t>5.3</t>
  </si>
  <si>
    <t>5.6</t>
  </si>
  <si>
    <t>5.7</t>
  </si>
  <si>
    <t>5.8</t>
  </si>
  <si>
    <t>5.9</t>
  </si>
  <si>
    <t>5.10</t>
  </si>
  <si>
    <t>5.11</t>
  </si>
  <si>
    <t>5.12</t>
  </si>
  <si>
    <t>6.0</t>
  </si>
  <si>
    <t>6.1</t>
  </si>
  <si>
    <t>6.2</t>
  </si>
  <si>
    <t>6.3</t>
  </si>
  <si>
    <t>6.4</t>
  </si>
  <si>
    <t>6.5</t>
  </si>
  <si>
    <t>6.6</t>
  </si>
  <si>
    <t>6.7</t>
  </si>
  <si>
    <t>6.8</t>
  </si>
  <si>
    <t>7.0</t>
  </si>
  <si>
    <t>7.1</t>
  </si>
  <si>
    <t>7.2</t>
  </si>
  <si>
    <t>7.3</t>
  </si>
  <si>
    <t>7.4</t>
  </si>
  <si>
    <t>7.5</t>
  </si>
  <si>
    <t>8.0</t>
  </si>
  <si>
    <t>8.1</t>
  </si>
  <si>
    <t>8.2</t>
  </si>
  <si>
    <t>8.3</t>
  </si>
  <si>
    <t>8.4</t>
  </si>
  <si>
    <t>8.5</t>
  </si>
  <si>
    <t>9.0</t>
  </si>
  <si>
    <t>5.13</t>
  </si>
  <si>
    <t>Eletrodomésticos de limpeza</t>
  </si>
  <si>
    <t>10.0</t>
  </si>
  <si>
    <t>10.1</t>
  </si>
  <si>
    <t>10.2</t>
  </si>
  <si>
    <t>10.3</t>
  </si>
  <si>
    <t>10.4</t>
  </si>
  <si>
    <t>11.0</t>
  </si>
  <si>
    <t>11.1</t>
  </si>
  <si>
    <t>11.2</t>
  </si>
  <si>
    <t>11.3</t>
  </si>
  <si>
    <t>11.4</t>
  </si>
  <si>
    <t>11.5</t>
  </si>
  <si>
    <t>12.0</t>
  </si>
  <si>
    <t>12.1</t>
  </si>
  <si>
    <t>12.2</t>
  </si>
  <si>
    <t>12.3</t>
  </si>
  <si>
    <t>12.4</t>
  </si>
  <si>
    <t>12.5</t>
  </si>
  <si>
    <t>12.6</t>
  </si>
  <si>
    <t>12.7</t>
  </si>
  <si>
    <t>13.0</t>
  </si>
  <si>
    <t>13.1</t>
  </si>
  <si>
    <t>13.2</t>
  </si>
  <si>
    <t>13.3</t>
  </si>
  <si>
    <t>13.4</t>
  </si>
  <si>
    <t>13.5</t>
  </si>
  <si>
    <t>14.0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</si>
  <si>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</si>
  <si>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</si>
  <si>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</si>
  <si>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</si>
  <si>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</si>
  <si>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</si>
  <si>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</si>
  <si>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</si>
  <si>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</si>
  <si>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</si>
  <si>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</si>
  <si>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</si>
  <si>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15.0</t>
  </si>
  <si>
    <t>15.1</t>
  </si>
  <si>
    <t>Fibras descartáveis e refis de limpeza</t>
  </si>
  <si>
    <t>15.2</t>
  </si>
  <si>
    <t>15.3</t>
  </si>
  <si>
    <t>16.1</t>
  </si>
  <si>
    <t>16.2</t>
  </si>
  <si>
    <t>16.3</t>
  </si>
  <si>
    <t>17.0</t>
  </si>
  <si>
    <t>17.1</t>
  </si>
  <si>
    <t>17.2</t>
  </si>
  <si>
    <t>17.3</t>
  </si>
  <si>
    <t>17.4</t>
  </si>
  <si>
    <t>17.5</t>
  </si>
  <si>
    <t>18.0</t>
  </si>
  <si>
    <t>18.1</t>
  </si>
  <si>
    <t>18.2</t>
  </si>
  <si>
    <t>18.3</t>
  </si>
  <si>
    <t>18.4</t>
  </si>
  <si>
    <t>18.5</t>
  </si>
  <si>
    <t>19.0</t>
  </si>
  <si>
    <t>19.1</t>
  </si>
  <si>
    <t>19.2</t>
  </si>
  <si>
    <t>19.3</t>
  </si>
  <si>
    <t>19.4</t>
  </si>
  <si>
    <t>19.5</t>
  </si>
  <si>
    <t>m²</t>
  </si>
  <si>
    <t>Peças de reposição e manutenção de rejuntes</t>
  </si>
  <si>
    <t>sc</t>
  </si>
  <si>
    <t>Rejunte flexível, cor cinza platina, saco de 5kg. Ref. Quartzolit</t>
  </si>
  <si>
    <t>Rejunte flexível, cor palha, saco de 5kg. Ref. Quartzolit</t>
  </si>
  <si>
    <t>Areia grossa</t>
  </si>
  <si>
    <t>Cimento de uso geral, saco de 50kg.</t>
  </si>
  <si>
    <t>m³</t>
  </si>
  <si>
    <t>Corante líquido: cores azul, marrom, preto, amarelo e vermelho. Ref. Sherwin Williams Xadrez 50ml</t>
  </si>
  <si>
    <t>Argamassa AC-III, saco de 20kg. Ref. Quartzolit</t>
  </si>
  <si>
    <t>Argamassa AC-II, saco de 20kg. Ref. Quartzolit</t>
  </si>
  <si>
    <t>Impermeabilização de piso granito levigado, com fornecimento de mão de obra e produtos químicos.</t>
  </si>
  <si>
    <t>Impermeabilização de piso granito liso, com fornecimento de mão de obra e produtos químicos.</t>
  </si>
  <si>
    <t>Impermeabilização de piso porcelanato externo, com fornecimento de mão de obra e produtos químicos.</t>
  </si>
  <si>
    <t>Saco de ráfia 70 x 50cm, pacote com 100 unidades</t>
  </si>
  <si>
    <t>Limpeza especializada de carpetes</t>
  </si>
  <si>
    <t>Limpeza especializada de espelhos d'água</t>
  </si>
  <si>
    <t>24.1</t>
  </si>
  <si>
    <t>25.0</t>
  </si>
  <si>
    <t>25.1</t>
  </si>
  <si>
    <t>25.2</t>
  </si>
  <si>
    <t>25.3</t>
  </si>
  <si>
    <t>1.12</t>
  </si>
  <si>
    <t>Auxiliar de copa</t>
  </si>
  <si>
    <t>Auxiliar garçom</t>
  </si>
  <si>
    <t>Conjunto uniforme copeira: conjunto vestido e avental de 67% poliéster e 33% algodão. Ref. AB Uniformes 3519.04</t>
  </si>
  <si>
    <t>Conjunto uniforme auxiliar de limpeza: conjunto de calça e túnica 100% algodão, calça cintura toda em elástico e túnica com bolsos na frente. Ref. AB Uniformes 3107.04</t>
  </si>
  <si>
    <t>Conjunto uniforme auxiliar de tele-atendente e recepcionista: conjunto de calça, camisa e jaqueta. Ref. Fábrica de Uniformes Uniforme Social com camisa branca</t>
  </si>
  <si>
    <t>Conjunto uniforme supervisor: conjunto de calça social 94% poliéster e 6% elastano, lenço, camisa manga curta 100% algodão. Ref. Aquarela Uniformes 1236</t>
  </si>
  <si>
    <t>9.1</t>
  </si>
  <si>
    <t>9.2</t>
  </si>
  <si>
    <t>9.3</t>
  </si>
  <si>
    <t>9.4</t>
  </si>
  <si>
    <t>9.5</t>
  </si>
  <si>
    <t>9.6</t>
  </si>
  <si>
    <t>10.5</t>
  </si>
  <si>
    <t>10.6</t>
  </si>
  <si>
    <t>10.7</t>
  </si>
  <si>
    <t>16.0</t>
  </si>
  <si>
    <t>12.8</t>
  </si>
  <si>
    <t>13.6</t>
  </si>
  <si>
    <t>13.7</t>
  </si>
  <si>
    <t>13.8</t>
  </si>
  <si>
    <t>13.9</t>
  </si>
  <si>
    <t>13.10</t>
  </si>
  <si>
    <t>13.11</t>
  </si>
  <si>
    <t>13.12</t>
  </si>
  <si>
    <t>Escada multifuncional articulada em alumínio 4x3 com 12 degraus. Ref. Botafogo ESC0292</t>
  </si>
  <si>
    <t>1.13</t>
  </si>
  <si>
    <t>INSALUBRIDADE 20%</t>
  </si>
  <si>
    <t>Auxiliar de manutenção predial com periculosidade</t>
  </si>
  <si>
    <t>Encarregado de equipe de limpeza</t>
  </si>
  <si>
    <t>Encarregado de equipe de manutenção predial</t>
  </si>
  <si>
    <t>-</t>
  </si>
  <si>
    <t>Lavador de carros (frota institucional)</t>
  </si>
  <si>
    <t>Clip organizador. Ref. Bralimpia PC502</t>
  </si>
  <si>
    <t>Vassoura mini para pá coletora em polipropileno. Ref. Bralimpia VM600</t>
  </si>
  <si>
    <t>Pá coletora em polipropileno e cabo anatômico. Ref. Bralimpia PP502</t>
  </si>
  <si>
    <t>Frasco para detergente PET transparente com capacidade de 500ml. Pacote com 100 unidades.</t>
  </si>
  <si>
    <t>Vassoura de pelo sintético com base de 60cm e cabo. Ref. Bettanin SuperPro</t>
  </si>
  <si>
    <t>Vassoura de pelo sintético com base de 80cm e cabo. Ref. Bettanin SuperPro</t>
  </si>
  <si>
    <t>Aspirador profissional de pó e líquido, tensão nominal de 220V, capacidade de 75 litros, potência nominal superior a 2500W. Ref. Jato Clean</t>
  </si>
  <si>
    <t>Lavadora de alta pressão monofásico, com carrinho para transporte, tensão nominal de 220V, potência nominal de 2200W. Ref. Karcher HD585</t>
  </si>
  <si>
    <t>1.14</t>
  </si>
  <si>
    <t>Auxiliar de manutenção - trabalho em altura</t>
  </si>
  <si>
    <t>Produto para limpeza e manutenção de pneus de secagem rápida, brilha pneu, galão de 5 litros. Ref. Start Brilha Pneu</t>
  </si>
  <si>
    <t>Produtos de limpeza automotiva (frota TCE-GO) ou maquinários e equipamentos</t>
  </si>
  <si>
    <t>Desengraxante ácido biodegradável concentrado 1:40, galão de 50 litros. Ref. StarCap ou InterCap</t>
  </si>
  <si>
    <t>Alvejante e desinfetante de uso geral, composição: hipoclorito de sódio, hidróxido de sódio, cloreto, teor de cloro ativo entre 2 a 2,5%. Galão com 50 litros. Ref. New Limp Alvejante Master</t>
  </si>
  <si>
    <t>Detergente líquido para lavar louças neutro, galão com 5 litros. Ref. Ypê Clear ou New Limp</t>
  </si>
  <si>
    <t>Pano de chão duplo xadrez alvejado, 100% algodão, dimensões 40x60cm ou maiores. Pacote com 100 unidades.</t>
  </si>
  <si>
    <t>Bactericidade desincrustante para limpeza de aparelhos de ar condicionado, galão com 5 litros. Ref. Air Shield</t>
  </si>
  <si>
    <t>RESUMO GERAL</t>
  </si>
  <si>
    <t>EPIs e Uniformes</t>
  </si>
  <si>
    <t>ITEM</t>
  </si>
  <si>
    <t>CUSTO TOTAL</t>
  </si>
  <si>
    <t>Par de luvas reforçada com 7 cm de punho,  tamanhos M, P e G. Ref. Protezza</t>
  </si>
  <si>
    <t>Pacote de luvas látex sem pó, revestida com algodão, palma antiderrapante, com 144 unidades, tamanhos M, P e G, comprimento aproximado de 30cm. Ref. Volk Multiuso</t>
  </si>
  <si>
    <t>Luvas de braço para proteção solar UV.</t>
  </si>
  <si>
    <t>Caixa de primeiros socorros, com mais de 65 itens, incluso bolsa ou maleta. Ref. Falck</t>
  </si>
  <si>
    <t>Conjunto uniforme para garçom: conjunto de calça, camisa, cinto, gravata e colete.</t>
  </si>
  <si>
    <t>Conjunto de proteção contra chuvas para motoqueiro. Ref. CA 38.294 e 38.295</t>
  </si>
  <si>
    <t>Capacete para mensageiro/motoqueiro com viseira em policarbonato de 2mm, forro anti-alérgico, certificado INMETRO. Ref. New Liberty 4</t>
  </si>
  <si>
    <t>Conjunto uniforme mensageiro/motoqueiro: conjunto de calça executiva 67% algodão e 33% poliéster e camisa manga longa. Ref. CAR1 Uniformes.</t>
  </si>
  <si>
    <t xml:space="preserve">Conjunto uniforme manutenção predial: conjunto de calça jeans com C.A. e camisa. </t>
  </si>
  <si>
    <t>Salário Educação</t>
  </si>
  <si>
    <t>VALOR TOTAL ANUAL ESTIMADO</t>
  </si>
  <si>
    <t>C.1</t>
  </si>
  <si>
    <t>C.2</t>
  </si>
  <si>
    <t>C.3</t>
  </si>
  <si>
    <t>C.4</t>
  </si>
  <si>
    <t>B.1</t>
  </si>
  <si>
    <t>B.2</t>
  </si>
  <si>
    <t>B.3</t>
  </si>
  <si>
    <t>B.4</t>
  </si>
  <si>
    <t>B.5</t>
  </si>
  <si>
    <t>B.6</t>
  </si>
  <si>
    <t>B.7</t>
  </si>
  <si>
    <t>B.8</t>
  </si>
  <si>
    <t>D.1</t>
  </si>
  <si>
    <t>E.1</t>
  </si>
  <si>
    <t>E.2</t>
  </si>
  <si>
    <t>F.1</t>
  </si>
  <si>
    <t>INSS</t>
  </si>
  <si>
    <t>FGTS</t>
  </si>
  <si>
    <t>SENAI/SENAC</t>
  </si>
  <si>
    <t>SESI/SESC</t>
  </si>
  <si>
    <t>Riscos Ambientais do Trabalho – RAT x FAP</t>
  </si>
  <si>
    <t>Férias (incluindo 1/3 constitucional)</t>
  </si>
  <si>
    <t>Acidente de Trabalho</t>
  </si>
  <si>
    <t>Férias sobre Licença Maternidade</t>
  </si>
  <si>
    <t>Auxílio Doença</t>
  </si>
  <si>
    <t>Licença Paternidade</t>
  </si>
  <si>
    <t>Indenização (rescisão sem justa causa – multa de 40% do FGTS)</t>
  </si>
  <si>
    <t>Indenização (rescisão sem justa causa – contribuição de 10% do FGTS)</t>
  </si>
  <si>
    <t>Incidência dos encargos do grupo A sobre o grupo B</t>
  </si>
  <si>
    <t>Incidência do FGTS exclusivamente sobre o aviso prévio indenizado</t>
  </si>
  <si>
    <t>Incidência do FGTS exclusivamente sobre o período médio de afastamento superior a 15 dias motivado por acidente do trabalho</t>
  </si>
  <si>
    <t xml:space="preserve">Incidência dos encargos do Grupo A sobre os valores constantes da base de cálculo referente ao salário maternidade </t>
  </si>
  <si>
    <t>LUCRO E DESPESAS INDIRETAS (LDI)</t>
  </si>
  <si>
    <t>LDI.1</t>
  </si>
  <si>
    <t>LDI.2</t>
  </si>
  <si>
    <t>LDI.3</t>
  </si>
  <si>
    <t>LDI.4</t>
  </si>
  <si>
    <t>LDI.5</t>
  </si>
  <si>
    <t>Despesas Administrativas/Operacionais</t>
  </si>
  <si>
    <t xml:space="preserve">Par de luvas de vaqueta longa com punho de raspa,  tamanhos M, P e G. </t>
  </si>
  <si>
    <t>CUSTOS DIRETOS - MÃO DE OBRA CONFORME CONVENÇÃO COLETIVA 2017</t>
  </si>
  <si>
    <t>CUSTOS DIRETOS: EPIS E UNIFORMES</t>
  </si>
  <si>
    <t>CUSTOS DIRETOS: INSUMOS DE HIGIENIZAÇÃO</t>
  </si>
  <si>
    <t>CUSTOS DIRETOS: UTENSÍLIOS DE HIGIENIZAÇÃO</t>
  </si>
  <si>
    <t>CUSTOS DIRETOS: INSUMOS DE CONSERVAÇÃO PREDIAL</t>
  </si>
  <si>
    <t>Utensílios de higienização</t>
  </si>
  <si>
    <t>Insumos de higienização</t>
  </si>
  <si>
    <t>Insumos de conservação predial</t>
  </si>
  <si>
    <t>Higienização e conservação de pisos</t>
  </si>
  <si>
    <t>R.1</t>
  </si>
  <si>
    <t>R.3</t>
  </si>
  <si>
    <t>R.4</t>
  </si>
  <si>
    <t>R.5</t>
  </si>
  <si>
    <t>R.6</t>
  </si>
  <si>
    <t>R.7</t>
  </si>
  <si>
    <t>VALOR TOTAL MENSAL ESTIMADO</t>
  </si>
  <si>
    <t>PERCENTUAL TOTAL DO LDI</t>
  </si>
  <si>
    <t>mês</t>
  </si>
  <si>
    <t>Salários</t>
  </si>
  <si>
    <t>Benefícios</t>
  </si>
  <si>
    <t>CUSTO UNITÁRIO SEM ENCARGOS(R$)</t>
  </si>
  <si>
    <t>Desentupidor manual de compressão tipo bomba com bico de borracha. Ref. Bettanin SuperPro SP8500 ou Vonder 3599470180 ou Disma</t>
  </si>
  <si>
    <t>Carrinho coletor de lixo em polipropileno com rodas e capacidade de 240 litros, cor verde (material reciclável). Ref. Bralimpia C240VD.</t>
  </si>
  <si>
    <t>Lixeira completa para coleta de pilhas e baterias em aço inoxidável de 50 litros. Ref. Mais Lixeiras PB50Inox</t>
  </si>
  <si>
    <t>Lixeira de fibra de vidro e fórmica, formato fast food (refeitórios), com alça para coleta de resíduos com capacidade mínima de 200 ou 230 litros. Ref. MetalPan F-1100a</t>
  </si>
  <si>
    <t>Suporte plástico para organização de rodos e vassouras para seis rodos. Ref. Bralimpia OA06AZ.</t>
  </si>
  <si>
    <t>Esponja multi-uso para limpeza de veículos. Ref. Bettanin SuperPro SP9422</t>
  </si>
  <si>
    <t>Escova reta e bola para limpeza de veículos. Ref. Bettanin SuperPro SP9688 e SP9687</t>
  </si>
  <si>
    <t>Kit extensor e escova bola para limpeza de veículos. Ref. Bettanin SuperPro SP9687 e SP9037</t>
  </si>
  <si>
    <t>Papel toalha branco folha dupla de 20cm, rolo de 200 metros, caixa com 6 unidades.</t>
  </si>
  <si>
    <t>cx</t>
  </si>
  <si>
    <t>Esponja de fibra branca macia uso leve, dimensões 102x260mm, com espessura de 1,5 cm, pacote com 10 unidades. Ref. Scotch Brite ou Super Pro Bettanin SP9504</t>
  </si>
  <si>
    <t>Esponja de fibra azul não risca uso leve, dimensões 102x260mm, com espessura de 1,5 cm, pacote com 10 unidades. Ref. Scotch Brite ou Super Pro Bettanin SP9509</t>
  </si>
  <si>
    <t>Esponja de fibra preta limpeza pesada, dimensões 102x260mm, com espessura de 1,5 cm, pacote com 10 unidades. Ref. Scotch Brite ou Super Pro Bettanin SP9506</t>
  </si>
  <si>
    <t>Refil para espanador. Ref. Bralimpia RE100</t>
  </si>
  <si>
    <t>Removedor de silicone e PU, embalagem de 500ml. Ref. Tapmatic</t>
  </si>
  <si>
    <t>Papel higiênico folha simples de alta absorção, caixa com 12x300 metros. Ref. Kimberly Clarck Scott.</t>
  </si>
  <si>
    <t>Papel toalha bobina de alta absorção, gramatura (37,5), caixa com 12x270 metros, rendimento equivalente a 6.480 secagens, 2 folhas por secagem de mãos. Ref. Kimberly Clarck Scott.</t>
  </si>
  <si>
    <t>Sabonete em refil sistema Micro Spray, capacidade 400 ml, fragrâncias: Hand lotion, rendendo 2.000 acionamentos, equivale a 1.000 lavagens de mãos. Ref. Kimberly Clarck Scott.</t>
  </si>
  <si>
    <t>17.6</t>
  </si>
  <si>
    <t>26.0</t>
  </si>
  <si>
    <t>26.1</t>
  </si>
  <si>
    <t>26.2</t>
  </si>
  <si>
    <t>26.3</t>
  </si>
  <si>
    <t>Gesso em pó de secagem rápida, cor branca, ABNT 13207.</t>
  </si>
  <si>
    <t>Bobina de papelão ondulado, 80cm ou 120cm.</t>
  </si>
  <si>
    <t>Massa adesiva plástica, cor cinza.</t>
  </si>
  <si>
    <t>Massa adesiva plástica, cor branca.</t>
  </si>
  <si>
    <t>Limpador multi-uso para limpeza de pisos e revestimentos, galão de 50 litros. Ref. Start Multi-Uso Azulim</t>
  </si>
  <si>
    <t>Base seladora para piso para posterior aplicação de cera, embalagem de 20 litros. Ref. Selador Master Start 20 litros.</t>
  </si>
  <si>
    <t>Limpador desincrustante biodegradável para pisos, galão de 5 litros, sem acréscimo de ácido muriático, fosfórico ou sulfúrico. Ref. Vonder ou Maximoom</t>
  </si>
  <si>
    <t>Fornecimento de granito Branco Siena levigado, dimensões 55x55cm, espessura de 1,5cm.</t>
  </si>
  <si>
    <t>Fornecimento de granito Branco Siena polido, dimensões 55x55cm, espessura de 1,5cm.</t>
  </si>
  <si>
    <t>Fornecimento de piso intertravado, espessura de 4cm, Fck= 35MPa.</t>
  </si>
  <si>
    <t>Fornecimento de piso intertravado, espessura de 6cm, Fck= 35MPa.</t>
  </si>
  <si>
    <t>Locação de caçamba de 6 metros cúbicos - Tipo A por, pelo menos, 10 dias.</t>
  </si>
  <si>
    <t>Locação de caçamba de 6 metros cúbicos - Tipo B por, pelo menos, 10 dias.</t>
  </si>
  <si>
    <t>CUSTOS DIRETOS: HIGIENIZAÇÃO E CONSERVAÇÃO DE PISOS E REVESTIMENTOS</t>
  </si>
  <si>
    <t>Fornecimento de revestimento em cerâmica. Ref. Cetim Bianco 30x60cm</t>
  </si>
  <si>
    <t>Locação de betoneira 400L</t>
  </si>
  <si>
    <t>11.6</t>
  </si>
  <si>
    <t>11.7</t>
  </si>
  <si>
    <t>Operador de máquinas de limpeza</t>
  </si>
  <si>
    <t>QUANTITATIVO ESTIMADO 1° ANO</t>
  </si>
  <si>
    <t>QUANTITATIVO ESTIMADO 2° ANO</t>
  </si>
  <si>
    <t>CUSTO TOTAL ESTIMADO 1° ANO (R$)</t>
  </si>
  <si>
    <t>CUSTO TOTAL ESTIMADO 2° ANO (R$)</t>
  </si>
  <si>
    <t>CUSTO MENSAL COM LDI (1° ANO)</t>
  </si>
  <si>
    <t>CUSTO ANUAL COM LDI (1° ANO)</t>
  </si>
  <si>
    <t>CUSTO MENSAL COM LDI (2° ANO)</t>
  </si>
  <si>
    <t>CUSTO ANUAL COM LDI (2° ANO)</t>
  </si>
  <si>
    <t>3.0</t>
  </si>
  <si>
    <t>3.1</t>
  </si>
  <si>
    <t>3.2</t>
  </si>
  <si>
    <t>3.3</t>
  </si>
  <si>
    <t>3.4</t>
  </si>
  <si>
    <t>6.9</t>
  </si>
  <si>
    <t>6.10</t>
  </si>
  <si>
    <t>6.11</t>
  </si>
  <si>
    <t>6.12</t>
  </si>
  <si>
    <t>6.13</t>
  </si>
  <si>
    <t>6.14</t>
  </si>
  <si>
    <t>7.6</t>
  </si>
  <si>
    <t>7.7</t>
  </si>
  <si>
    <t>7.8</t>
  </si>
  <si>
    <t>13.13</t>
  </si>
  <si>
    <t>13.14</t>
  </si>
  <si>
    <t>13.15</t>
  </si>
  <si>
    <t>13.16</t>
  </si>
  <si>
    <t>13.17</t>
  </si>
  <si>
    <t>13.18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</si>
  <si>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</si>
  <si>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</si>
  <si>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</si>
  <si>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</si>
  <si>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</si>
  <si>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</si>
  <si>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</si>
  <si>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</si>
  <si>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</si>
  <si>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</si>
  <si>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</si>
  <si>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</si>
  <si>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</si>
  <si>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</si>
  <si>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</si>
  <si>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</si>
  <si>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</si>
  <si>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</si>
  <si>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</si>
  <si>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</si>
  <si>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</si>
  <si>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</si>
  <si>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</si>
  <si>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</si>
  <si>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</si>
  <si>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27.0</t>
  </si>
  <si>
    <t>27.1</t>
  </si>
  <si>
    <t>24.2</t>
  </si>
  <si>
    <t>24.3</t>
  </si>
  <si>
    <t>24.4</t>
  </si>
  <si>
    <t>28.0</t>
  </si>
  <si>
    <t>28.1</t>
  </si>
  <si>
    <t>Máquina de lavar e secar para limpeza de panos, capacidade nominal superior a 10 kg, com garantia do fabricante estendida de 2 anos e garantia de 10 anos contra defeitos no motor, porta frontal, tensão nominal de 220V. Ref. Samsung Seine WF106U4SAWQ</t>
  </si>
  <si>
    <t>29.1</t>
  </si>
  <si>
    <t>29.0</t>
  </si>
  <si>
    <t>27.2</t>
  </si>
  <si>
    <t>27.3</t>
  </si>
  <si>
    <t>25.4</t>
  </si>
  <si>
    <t>25.5</t>
  </si>
  <si>
    <t>25.6</t>
  </si>
  <si>
    <t>25.7</t>
  </si>
  <si>
    <t>25.8</t>
  </si>
  <si>
    <t>25.9</t>
  </si>
  <si>
    <t>Pulverizador spray em polipropileno, com suporte para mãos, capacidade de 1000ml, cor transparente. Ref. Bralimpia PV2001 ou Vonder</t>
  </si>
  <si>
    <t>Pulverizador manual de compressão multi-uso com ponta regulável, capacidade de 2 litro. Ref. Tramontina 78610/200</t>
  </si>
  <si>
    <t>Locação de varredeira para limpeza de estacionamento externo (asfalto), operador à bordo sentado, produtividade nominal superior a 10.000 m²/h. Custo unitário deve incluir assistência técnica Full Service e consumíveis. Ref. Karcher KM 100/100R Diesel</t>
  </si>
  <si>
    <t>Locação de lavadora e secadora manual, estilo MOP. Custo unitário deve incluir assistência técnica Full Service e consumíveis Ref. Karcher B60/10C.</t>
  </si>
  <si>
    <t>Locação de lavadora e secadora elétrica, pequeno porte para limpeza de corredores menores, com tanque de água limpa superior a 10 (dez) litros. Custo unitário deve incluir assistência técnica Full Service e consumíveis. Ref. Karcher BR 35/12C</t>
  </si>
  <si>
    <t>Locação de lavadora e secadora de pisos manual, aspirador de pó, estilo aspirador vertical, com escova do tipo rolo. Custo unitário deve incluir assistência técnica Full Service e consumíveis. Ref. Karcher BR30/4 C 220V (Portátil).</t>
  </si>
  <si>
    <t>Frasco PEAD com capacidade de 2 litros com bocal de, pelo menos 21 mm (diâmetro interno), tampa e alça lateral, para armazenamento e transporte de produtos químicos. Pacote com 50 unidades.</t>
  </si>
  <si>
    <t>PERCENTUAL TOTAL ESTIMADO  DE ENCARGOS SOCIAIS</t>
  </si>
  <si>
    <t>CUSTOS DIRETOS - EXAMES E SEGURANÇA DO TRABALHO</t>
  </si>
  <si>
    <t>Exames e Segurança do Trabalho considerando a rotativididade da mão de obra</t>
  </si>
  <si>
    <t>Exames admissionais obrigatórios (atestado de saúde ocupacional, exame clínico, audiometria, RX digital de tórax, espirometria, eletrocardiograma, glicemia completo, acuidade visual e psicológico)</t>
  </si>
  <si>
    <t>Exames demissionais obrigatórios (atestado de saúde ocupacional, exame clínico, audiometria, RX digital de tórax, espirometria, eletrocardiograma, glicemia completo, acuidade visual e psicológico)</t>
  </si>
  <si>
    <t>Exames periódicos obrigatórios (atestado de saúde ocupacional, exame clínico, audiometria, RX digital de tórax, espirometria, eletrocardiograma, glicemia completo, acuidade visual e psicológico)</t>
  </si>
  <si>
    <t>R.2</t>
  </si>
  <si>
    <t>Mão de obra - Exames e Segurança Trabalho</t>
  </si>
  <si>
    <t>5.15</t>
  </si>
  <si>
    <t>5.16</t>
  </si>
  <si>
    <t>5.17</t>
  </si>
  <si>
    <t>5.18</t>
  </si>
  <si>
    <t>5.19</t>
  </si>
  <si>
    <t>5.20</t>
  </si>
  <si>
    <t>5.21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</si>
  <si>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</si>
  <si>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</si>
  <si>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</si>
  <si>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</si>
  <si>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</si>
  <si>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</si>
  <si>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</si>
  <si>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</si>
  <si>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</si>
  <si>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</si>
  <si>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</si>
  <si>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</si>
  <si>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</si>
  <si>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</si>
  <si>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</si>
  <si>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</si>
  <si>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</si>
  <si>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</si>
  <si>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8.6</t>
  </si>
  <si>
    <t>8.7</t>
  </si>
  <si>
    <t>10.8</t>
  </si>
  <si>
    <t>10.9</t>
  </si>
  <si>
    <t>10.10</t>
  </si>
  <si>
    <t>CUSTO ANUAL COM LDI (24 MESES)</t>
  </si>
  <si>
    <t>24.5</t>
  </si>
  <si>
    <t>24.6</t>
  </si>
  <si>
    <t>rl</t>
  </si>
  <si>
    <t>Fita de filtro adesivada, anti-ruído, 12mm, rolo com 10 metros.</t>
  </si>
  <si>
    <t>Fita de filtro adesivada, anti-ruído, 19 a 20 mm, rolo com 10 metros.</t>
  </si>
  <si>
    <t>24.7</t>
  </si>
  <si>
    <t>24.8</t>
  </si>
  <si>
    <t>Segurança do Trabalho: Assessorias técnicas, Laudos, Avaliações, Treinamentos, Programas de Controle Médico de Saúde Ocupacional (PCMSO) e de Prevenção de Riscos Ambientais (PPRA) e cursos CIPA</t>
  </si>
  <si>
    <t>Produtos descartáveis para acessórios de sanitários em regime de comodato com assistência técnica (63 saboneteiras, 74 porta papéis toalha e 67 porta papéis rolão)</t>
  </si>
  <si>
    <t>Lixeira em aço inoxidável circular com diâmetro aproximado de 24cm e altura de 72cm. Ref. Central do Brasil</t>
  </si>
  <si>
    <t>24.9</t>
  </si>
  <si>
    <t>Adesivo de contato de alto desempenho, balde de 730g. Ref. Cascola Tradicional</t>
  </si>
  <si>
    <t>Primer para superfícies plásticas e borrachas, com 940ml. Ref. 3M Primer P-8215</t>
  </si>
  <si>
    <t>24.10</t>
  </si>
  <si>
    <t>Fita auto-adesiva veda trinca 50mm, rolo com 10 metros. Ref. Scotch 3M</t>
  </si>
  <si>
    <t>Placa de gesso comum 60x60cm.</t>
  </si>
  <si>
    <t>Placa de gesso acartonado RU, espessura de 12,5mm, dimensões 1200x2400mm.</t>
  </si>
  <si>
    <t>Massa para colagem de fitas e acabamento de juntas em  drywall.</t>
  </si>
  <si>
    <t>Placa de forro mineral com borda S3. Ref. Sonex OWA Sandila Micro 625x625mm</t>
  </si>
  <si>
    <t>Desengripante e lubrificante spray multi-uso, 300ml. Ref. WD-40</t>
  </si>
  <si>
    <t>Graxa para lubrificação. Ref. Vonder 5125001000</t>
  </si>
  <si>
    <t>Kit Fechaduras tipo armário com 12 unidades do mesmo segredo. Ref. Rapaiz Art 511</t>
  </si>
  <si>
    <t>Bucha ou esponja de pedreiro 22,0 x 13,0cm. Ref. Vonder 12068341</t>
  </si>
  <si>
    <t>Fita Perfurada 17 mm com 5 metros. Ref. Bemfixa 8056</t>
  </si>
  <si>
    <t>Kit abraçadeiras com 10 peças. Ref. Western 9701</t>
  </si>
  <si>
    <t>Par de maçanetas universal tipo alavanca. Ref. Aliança  86542</t>
  </si>
  <si>
    <t>Insumos gerais de manutenção predial</t>
  </si>
  <si>
    <t>Kit fechadura eletroíma com botão de acionamento por botão com bateria inclusa. Ref. Automatiza FE 20150 e  FA 1220S</t>
  </si>
  <si>
    <t>Botão de saída inox para fechadura. Ref. Automatiza AC2864</t>
  </si>
  <si>
    <t>Botão de saída inox com caixa. Ref. Automatiza AC6904</t>
  </si>
  <si>
    <t xml:space="preserve">Kit de controle de acesso biométrico, contendo uma controladora, um carregador, uma fechadura, uma botoeira de saída e cinco cartões 125MHz. Ref. Automatiza Combo Bio Inox Plus  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</si>
  <si>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</si>
  <si>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</si>
  <si>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</si>
  <si>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</si>
  <si>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</si>
  <si>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</si>
  <si>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</si>
  <si>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</si>
  <si>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</si>
  <si>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</si>
  <si>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</si>
  <si>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Espaçador de junta de piso de 1,0mm, 1,5mm, 2,0mm, 3,0mm e 4,0mm. Pacote com 100 unidades.</t>
  </si>
  <si>
    <t>Fita zebrada plástica para demarcação, cores preta e amarela. Rolo com 200 metros.</t>
  </si>
  <si>
    <t>Graxa lítio branca aerosol 400ml. Ref. WD-40 16681215</t>
  </si>
  <si>
    <t>Locação de lavadora e secadora de pisos (corredores e estacionamentos cobertos), com produtividade nominal superior a 3.000 m²/h. Custo unitário deve incluir assistência técnica Full Service e consumíveis. Ref. Karcher B90R-R65 220V (2 unidades)</t>
  </si>
  <si>
    <t>un * mês</t>
  </si>
  <si>
    <t>Papel higiênico folha dupla, 100% celulose picotado e gofrado, fardo com 64 rolos de 30 metros cada. Ref. Neve Seda.</t>
  </si>
  <si>
    <t>Papel higiênico folha dupla, 100% celulose picotado e gofrado, fardo com 8 rolos de 300 metros cada, classe Extra Luxo.</t>
  </si>
  <si>
    <t>Papel higiênico interfolha dupla, fardo com 8.000 folhas cada, classe Extra Luxo.</t>
  </si>
  <si>
    <t>12.9</t>
  </si>
  <si>
    <t>dia</t>
  </si>
  <si>
    <t>12.10</t>
  </si>
  <si>
    <t>Locação de Makitão Serra Cliper: disco de corte diamantado para aslfato/concreto.</t>
  </si>
  <si>
    <t>Locação de Makitão Serra Cliper para corte de piso de concreto ou asfalto/concreto.</t>
  </si>
  <si>
    <t>Insumos de pintura</t>
  </si>
  <si>
    <t>26.4</t>
  </si>
  <si>
    <t>26.5</t>
  </si>
  <si>
    <t>26.6</t>
  </si>
  <si>
    <t>26.7</t>
  </si>
  <si>
    <t>26.8</t>
  </si>
  <si>
    <t>26.9</t>
  </si>
  <si>
    <t>26.10</t>
  </si>
  <si>
    <t>Montante de 70mm para gesso acartonado, comprimento de 3 metros</t>
  </si>
  <si>
    <t>Guia de 70mm para gesso acartonado, comprimento de 3 metros.</t>
  </si>
  <si>
    <t>Conjunto de parafusos TTPC 25 para gesso acartonado, 100 unidades.</t>
  </si>
  <si>
    <t>Conjunto de parafusos TRPF 4,2x13 25 para gesso acartonado, 100 unidades.</t>
  </si>
  <si>
    <t>Rolo de fita telada para drywall de 50mm com 90 metros. Ref. WallTape</t>
  </si>
  <si>
    <t>26.11</t>
  </si>
  <si>
    <t xml:space="preserve">Sabonete líquido para limpeza de mãos. Galão com 5 litros. Ref. Start Pétala Erva Doce. </t>
  </si>
  <si>
    <t>11.8</t>
  </si>
  <si>
    <t>Lavadora de alta pressão monofásico, com carrinho para transporte, tensão nominal de 220V, potência nominal de 2200W. Ref. Karcher HD5/12 C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</si>
  <si>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</si>
  <si>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</si>
  <si>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</si>
  <si>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</si>
  <si>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</si>
  <si>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</si>
  <si>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</si>
  <si>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</si>
  <si>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</si>
  <si>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</si>
  <si>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30.0</t>
  </si>
  <si>
    <t>30.1</t>
  </si>
  <si>
    <t>18.21</t>
  </si>
  <si>
    <t>18.22</t>
  </si>
  <si>
    <t>18.23</t>
  </si>
  <si>
    <t>Detergente neutro concentrado, galão com 5 litros e rendimento mínimo de 100 litros por litro. Ref. Start SH7000</t>
  </si>
  <si>
    <t>Produto químico para limpeza automotiva à seco sem arranhar a pintura, sem utilização de água em abundância, galão com 5 litros. Ref. 3M Lava Seco ou equivalentes técnicos</t>
  </si>
  <si>
    <t>Pano de microfibra 30x30cm para limpeza de equipamentos de TI e automotivos, pacote com 48 peças. Ref. Bralimpia PM33AMCX</t>
  </si>
  <si>
    <t>Lâmina de secagem automotiva. Ref. Flexi Blade</t>
  </si>
  <si>
    <t>Espuma aplicadora retangular 10x9x4cm, pacote com 10 unidades.</t>
  </si>
  <si>
    <t>Kit de limpeza auomotiva com uma luva, uma esponja sem alça, dois aplicadores de cera, uma escova para roda e duas flanelas. Ref. Multilaser AU324</t>
  </si>
  <si>
    <t>19.6</t>
  </si>
  <si>
    <t>8.8</t>
  </si>
  <si>
    <t>Pulverizador manual de compressão multi-uso com ponta regulável, capacidade de 1,5 litro. Ref. Tramontina 78610150</t>
  </si>
  <si>
    <t>19.7</t>
  </si>
  <si>
    <t>Produto químico para limpeza de painéis automotivos de plástico, galão com 5 litros. Ref. Nobrecar PLP</t>
  </si>
  <si>
    <t>2.3</t>
  </si>
  <si>
    <t>CUSTOS DIRETOS: INSUMOS PARA CONSERVAÇÃO DE FORROS E PINTURAS</t>
  </si>
  <si>
    <t>R.8</t>
  </si>
  <si>
    <t>Insumos de conservação de forros e pinturas</t>
  </si>
  <si>
    <t>Espátula multi-uso ou abridor de latas. Ref Tigre 2320</t>
  </si>
  <si>
    <t>Bandeja para pintura plástica 23cm. Ref Tigre 2304</t>
  </si>
  <si>
    <t>Compressor de Ar Direto 220V, 1/3 cv. Ref Schulz Air Plus 2,3MS 920.1112-0</t>
  </si>
  <si>
    <t xml:space="preserve">Desempenadeira de aço inox aberta para massa corrida, 12x30cm. Ref Castor BT168106RF </t>
  </si>
  <si>
    <t>Desempenadeira de aço inox aberta para gesso lisa, 12x29cm. Ref. Galo 7897647011307</t>
  </si>
  <si>
    <t>Espátula de aço polido e envernizado com cabo de plástico, dimensões 1.1/2". Ref Tigre 2151 62151006</t>
  </si>
  <si>
    <t>Espátula de aço polido e envernizado com cabo de plástico, dimensões 5". Ref Tigre 2151 62151020</t>
  </si>
  <si>
    <t>Espátula de aço polido e envernizado com cabo de plástico, dimensões 2.1/2". Ref Tigre 2151 62151010</t>
  </si>
  <si>
    <t>Estopa branca, pacote com 400g.</t>
  </si>
  <si>
    <t>Fita Crepe 25mm, rolo com 50 metros. Ref. 3M Scotch</t>
  </si>
  <si>
    <t>Fita Crepe 50mm, rolo com 50 metros. Ref. 3M Scotch</t>
  </si>
  <si>
    <t>Folha de lixa para massas, grão 120, pacote com 100 unidades. Ref 3M</t>
  </si>
  <si>
    <t>Folha de lixa para massas, grão 80, pacote com 100 unidades. Ref 3M</t>
  </si>
  <si>
    <t>Folha de lixa para massas, grão 220, pacote com 100 unidades. Ref 3M</t>
  </si>
  <si>
    <t>Rolo de lã de carneiro de 15cm com cabo. Ref. Tigre 1346</t>
  </si>
  <si>
    <t>Rolo de lã de carneiro de 23cm com cabo. Ref. Tigre 1321</t>
  </si>
  <si>
    <t>Rolo de lã de carneiro de 9cm com cabo. Ref. Tigre 1383-15</t>
  </si>
  <si>
    <t>Pistola de pintura de 1,2mm para ar direto. Ref. Arprex Mod-90</t>
  </si>
  <si>
    <t>Misturador manual de tintas. Ref. Vonder ME113</t>
  </si>
  <si>
    <t>Rolo de pintura manual. Ref. Black Decker BDPR400-LA</t>
  </si>
  <si>
    <t>Refil para rolo Black Decker. Ref. Black Decker BDPR1038-LA</t>
  </si>
  <si>
    <t>Rolo de lã sintético anti-respingo de 9 cm. Ref Tigre 1375-09</t>
  </si>
  <si>
    <t>Rolo de lã sintético anti-respingo de 15 cm. Ref Tigre 1375-15</t>
  </si>
  <si>
    <t>Rolo de lã sintético anti-respingo de 23 cm. Ref Tigre 1374-23</t>
  </si>
  <si>
    <t>Máscara respiratória sem válvula PFF2. Pacote com 100 unidades.</t>
  </si>
  <si>
    <t>Trincha média, cerda de gris de 2". Ref Tigre 520 60520008</t>
  </si>
  <si>
    <t>Trincha dupla, cerda longa preta de 1". Ref. Tigre 571 60571004</t>
  </si>
  <si>
    <t>Trincha média, cerda de gris, com cabo de anzol de 1". Ref Tigre 695 60695004</t>
  </si>
  <si>
    <t>Trincha média multi-uso, com filamento de gris de 2". Ref Tigre 713 60713008</t>
  </si>
  <si>
    <t>Lona plástica leve, cor preta, dimensões 4x100m, de 50 micra.</t>
  </si>
  <si>
    <t>1.15</t>
  </si>
  <si>
    <t>hh</t>
  </si>
  <si>
    <t>1.16</t>
  </si>
  <si>
    <t>Adicional hora extra - auxiliar manutenção predial</t>
  </si>
  <si>
    <t>Adicional hora extra - encarregado manutenção predial</t>
  </si>
  <si>
    <t>Amparo familiar</t>
  </si>
  <si>
    <t>CUSTO UNITÁRIO COM ENCARGOS (R$)</t>
  </si>
  <si>
    <t>Grafite em pó, embalagem de 25 gramas. Ref. Vonder.</t>
  </si>
  <si>
    <t>Grafite em pó, embalagem de 1 Kg. Ref. Vonder.</t>
  </si>
  <si>
    <t>24.22</t>
  </si>
  <si>
    <t>24.23</t>
  </si>
  <si>
    <t>Desengrapante dielétrico: limpador de contatos elétricos spray, 300ml.</t>
  </si>
  <si>
    <t>Conjunto resina epóxi (1kg) e endurecedor (880 gramas). Ref. Araldite Profissional 1,8kg</t>
  </si>
  <si>
    <t>Adesivo acrílico à base de água para vedação de trincas e rachaduras, cor branca, cartucho de 280ml/425g, com bico dosador. Ref. Tek Bond</t>
  </si>
  <si>
    <t>Solda química à base de elastômero sintético para vedação de calhas e rufos, cor alumínio, cartucho de 300ml/425g, com bico dosador. Ref. Calha Seal</t>
  </si>
  <si>
    <t>Adesivo multi-uso PU (poliuretano), cor cinza, cartucho de 280ml/387g, resistência a raios UV e chuvas, com bico dosador. Ref. Tek Bond PUFIX</t>
  </si>
  <si>
    <t>Adesivo multi-uso PU (poliuretano), cor branca, cartucho de 280ml/387g, resistência a raios UV e chuvas, com bico dosador. Ref. Tek Bond PUFIX</t>
  </si>
  <si>
    <t>Adesivo multi-uso silicone à base de água, cor branca, cartucho de 280ml/305g, resistência a raios UV e chuvas, com bico dosador. Ref. Tek Bond Silicone</t>
  </si>
  <si>
    <t>Adesivo multi-uso silicone acético, cor transparente, cartucho de 280ml/305g, resistência a raios UV e chuvas, com bico dosador. Ref. Tek Bond Silicone</t>
  </si>
  <si>
    <t>Adesivo multi-uso silicone acético, cor branca, cartucho de 280ml/305g, resistência a raios UV e chuvas, com bico dosador. Ref. Tek Bond Silicone</t>
  </si>
  <si>
    <t>Selante para calhas e rufos, vedação e impermeabilização, lata com 1,2kg. Ref. Vedacit Imper Calha 1,2kg</t>
  </si>
  <si>
    <t>Massa asfáltica para vedação de trincas e juntas, galão de 4kg. Ref. Vedacit Carbolástico nº 3.</t>
  </si>
  <si>
    <t>Massa asfáltica para reparos em concreto e telhas, galão de 4kg. Ref. Vedacit Carbolástico nº 2.</t>
  </si>
  <si>
    <t>Massa betuminosa para impermeabilização, galão de 20kg. Ref. Vedacit Frio Asfalto</t>
  </si>
  <si>
    <t>Primer para manta asfáltica, galão com 3,6 litros. Ref. Bedacit Primer</t>
  </si>
  <si>
    <t>Adesivo de poliuretano expansivo (espuma expansiva) para preenchimento de espaços, cartucho com 480g. Ref. Tek Bond</t>
  </si>
  <si>
    <t>Fita auto adesiva aluminizada 200mm, rolo de 10 metros.</t>
  </si>
  <si>
    <t>Cantoneira de PVC, cor branca, barra com 3 metros.</t>
  </si>
  <si>
    <t>br</t>
  </si>
  <si>
    <t>Cantoneira de alumínio, pintada na cor branca, 1" x 1" polegada (2,54cmx2,54cm), barra com 3 metros. Ref. Metropac 863424</t>
  </si>
  <si>
    <t>Impermeabilizante para portas de madeira aerossol com 400 ml. Ref. Vedacit Veda Spray Madeiras</t>
  </si>
  <si>
    <t>Hidrofugante para pedras, lata de 3,6 litros. Ref. Vedacit Acquella Stones.</t>
  </si>
  <si>
    <t>Hidrofugante silicone para fachadas e tijolos, lata de 18 litros. Ref. Vedacit Acquella ou Quartzolit Repele Água 18 litros.</t>
  </si>
  <si>
    <t>Cola estrutural, conjunto para 1 litro. Ref. Quartzsolit 1 litro.</t>
  </si>
  <si>
    <t>Aditivo impermeabilizante para argamassas e concreto, galão com 18 litros. Ref. Sika ou Vedacit.</t>
  </si>
  <si>
    <t>Manta líquida branca para lajes e telhas, balde com 18 kg. Ref. Quartzolit</t>
  </si>
  <si>
    <t>Seladora concentrada para madeira à base de água (uso interno), galão com 3,6 litros. Ref. Sparlack ou Sayerlack</t>
  </si>
  <si>
    <t>Verniz para madeira à base de água, acabamento acetinado, cor transparente, galão com 3,6 litros. Ref. Sparlack Extra Marítimo</t>
  </si>
  <si>
    <t>Verniz para madeira à base de água, acabamento acetinado, com duplo filtro solar, cor ipê, galão com 3,6 litros. Ref. Sparlack Duplo Filtro Solar</t>
  </si>
  <si>
    <t>Perfil de acabamento para forros de  PVC, tipo Emenda "H", barra com 04 metros.</t>
  </si>
  <si>
    <t>Perfil de acabamento para forros de  PVC, tipo Cantoneira em "L", barra com 04 metros.</t>
  </si>
  <si>
    <t>Perfil de acabamento para forros de  PVC, tipo Acabamento em "U", barra com 04 metros.</t>
  </si>
  <si>
    <t>Par de luvas de algodão pigmentada, tamanhos M, P e G.</t>
  </si>
  <si>
    <t>Insumos para forros e perfis</t>
  </si>
  <si>
    <t>Insumos de vedação, impermeabilizações e adesivos</t>
  </si>
  <si>
    <t>28.12</t>
  </si>
  <si>
    <t>28.13</t>
  </si>
  <si>
    <t>28.14</t>
  </si>
  <si>
    <t>28.15</t>
  </si>
  <si>
    <t>28.16</t>
  </si>
  <si>
    <t>28.17</t>
  </si>
  <si>
    <t>28.18</t>
  </si>
  <si>
    <t>Insumos para marcenaria</t>
  </si>
  <si>
    <t>Ferramentas para pinturas</t>
  </si>
  <si>
    <t>Rejunte flexível, cor cimento branco, saco de 5kg. Ref. Quartzolit</t>
  </si>
  <si>
    <t>2.4</t>
  </si>
  <si>
    <t>Auxílio transporte (desconto Art. 4° da Lei 7.418/85)</t>
  </si>
  <si>
    <t>Auxílio alimentação (vide considerações Anexo V)</t>
  </si>
  <si>
    <t>Mangueira industrial para lavadora de alta pressão com 20 metros de comprimento. Ref. Karcher 93024410</t>
  </si>
  <si>
    <t>11.9</t>
  </si>
  <si>
    <t>11.10</t>
  </si>
  <si>
    <t>Mangueira industrial para lavadora de alta pressão com 10 metros de comprimento. Ref. Karcher 63898910</t>
  </si>
  <si>
    <r>
      <t xml:space="preserve">Massa acrílica para áreas externas, lata de 18L ou 27kg. Ref. </t>
    </r>
    <r>
      <rPr>
        <b/>
        <sz val="11"/>
        <rFont val="Calibri"/>
        <family val="2"/>
        <scheme val="minor"/>
      </rPr>
      <t>Suvinil ou Coral</t>
    </r>
  </si>
  <si>
    <r>
      <t xml:space="preserve">Massa corrida PVA para áreas internas, lata de 18L ou 28kg. Ref. </t>
    </r>
    <r>
      <rPr>
        <b/>
        <sz val="11"/>
        <rFont val="Calibri"/>
        <family val="2"/>
        <scheme val="minor"/>
      </rPr>
      <t>Suvinil ou Coral</t>
    </r>
  </si>
  <si>
    <r>
      <t xml:space="preserve">Solvente Aguarrás, galão de 5,0L. Ref. </t>
    </r>
    <r>
      <rPr>
        <b/>
        <sz val="11"/>
        <rFont val="Calibri"/>
        <family val="2"/>
        <scheme val="minor"/>
      </rPr>
      <t>Coral ou Suvinil</t>
    </r>
  </si>
  <si>
    <r>
      <t xml:space="preserve">Solvente Thinner 400, galão de 5,0L. Ref. </t>
    </r>
    <r>
      <rPr>
        <b/>
        <sz val="11"/>
        <rFont val="Calibri"/>
        <family val="2"/>
        <scheme val="minor"/>
      </rPr>
      <t>Anjo ou Luztol</t>
    </r>
  </si>
  <si>
    <r>
      <t xml:space="preserve">Tinta acrílica econômica, acabamento fosco, cores diversas que serão definidas sob demanda (Branco Neve, entre outras), lata de 18 litros. Aplicações: tetos do edifício-sede e anexos. Ref. </t>
    </r>
    <r>
      <rPr>
        <b/>
        <sz val="11"/>
        <rFont val="Calibri"/>
        <family val="2"/>
        <scheme val="minor"/>
      </rPr>
      <t>Leinertex Vivacor Acrílica Econômica</t>
    </r>
  </si>
  <si>
    <r>
      <t xml:space="preserve">Tinta acrílica para pisos, acabamento fosco, cores diversas que serão definidas sob demanda (branca, cinza chumbo ou concreto, entre outras), lata de 18L.  Aplicações: pisos de concreto em áreas externas. Ref. </t>
    </r>
    <r>
      <rPr>
        <b/>
        <sz val="11"/>
        <rFont val="Calibri"/>
        <family val="2"/>
        <scheme val="minor"/>
      </rPr>
      <t>Sherwin Williams NovaCor Piso Mais Resistente</t>
    </r>
  </si>
  <si>
    <r>
      <t xml:space="preserve">Tinta acrílica para pisos, acabamento semi-brilho, cores diversas que serão definidas sob demanda (branca, cinza chumbo ou concreto, entre outras), lata de 18L.  Aplicações: pisos de concreto em áreas externas. Ref. </t>
    </r>
    <r>
      <rPr>
        <b/>
        <sz val="11"/>
        <rFont val="Calibri"/>
        <family val="2"/>
        <scheme val="minor"/>
      </rPr>
      <t>Sherwin Williams NovaCor Piso Ultra</t>
    </r>
  </si>
  <si>
    <r>
      <t>Tinta acrílica para pisos, acabamento semi-brilho, cores diversas que serão definidas sob demanda (branca, entre outras), lata de 18L. Aplicações: meio fio e pisos. Ref.</t>
    </r>
    <r>
      <rPr>
        <b/>
        <sz val="11"/>
        <rFont val="Calibri"/>
        <family val="2"/>
        <scheme val="minor"/>
      </rPr>
      <t xml:space="preserve"> Sherwin Williams NovaCor Piso Premium</t>
    </r>
  </si>
  <si>
    <r>
      <t xml:space="preserve">Tinta acrílica premium fachada, acabamento fosco, cores diversas que serão definidas sob demanda (Açucar Cristal, Elefante, Leite Quente, entre outras), lata com 18 litros. Aplicações: fachadas externas do Centro de Convivência, Creche, gabiões, abóbodas do Foyer e Reservatório. Ref. </t>
    </r>
    <r>
      <rPr>
        <b/>
        <sz val="11"/>
        <rFont val="Calibri"/>
        <family val="2"/>
        <scheme val="minor"/>
      </rPr>
      <t>Suvinil Proteção Total</t>
    </r>
  </si>
  <si>
    <r>
      <t xml:space="preserve">Tinta acrílica premium, acabamento fosco, cor Branco Gelo, lata de 18 litros.  Aplicações: muros laterais externos. Ref. </t>
    </r>
    <r>
      <rPr>
        <b/>
        <sz val="11"/>
        <rFont val="Calibri"/>
        <family val="2"/>
        <scheme val="minor"/>
      </rPr>
      <t>Suvinil Proteção Total Acrílico Fachada</t>
    </r>
  </si>
  <si>
    <r>
      <t xml:space="preserve">Tinta epóxi para pisos, acabamento brilhante, cores diversas que serão definidas sob demanda (cinza claro, entre outras), galão de 3,6L. Ref. </t>
    </r>
    <r>
      <rPr>
        <b/>
        <sz val="11"/>
        <rFont val="Calibri"/>
        <family val="2"/>
        <scheme val="minor"/>
      </rPr>
      <t>Sherwin Williams NovaCor Epóxi</t>
    </r>
  </si>
  <si>
    <r>
      <t xml:space="preserve">Tinta látex premium, acabamento fosco aveludado, cores diversas que serão definidas sob demanda (Areia do Deserto, entre outras) para pintura de paredes internas dos espaços-café, lata de 18 litros. Ref. </t>
    </r>
    <r>
      <rPr>
        <b/>
        <sz val="11"/>
        <rFont val="Calibri"/>
        <family val="2"/>
        <scheme val="minor"/>
      </rPr>
      <t>Suvinil Clássica Premium</t>
    </r>
  </si>
  <si>
    <t>Fita de borda PVC 35mm, cor branca, rolo com 20 metros.</t>
  </si>
  <si>
    <t>Alçapão para forros com abertura por clique, dimensões 600x600mm.</t>
  </si>
  <si>
    <t>Chapa de madeira de MDF bilaminado de 1,5cm, cor branco TX, para manutenção de armários.</t>
  </si>
  <si>
    <t>Maçarico lança chamas à gas, com dois registros para manta asfáltica.</t>
  </si>
  <si>
    <t>24.24</t>
  </si>
  <si>
    <r>
      <t xml:space="preserve">Tinta texturatto premium, acabamento textura em relevo, cores diversas que serão definidas sob demanda (Branca, entre outras), lata com 18 litros. Aplicações: guaritas, centro de convivência, creche e mirante. Ref. </t>
    </r>
    <r>
      <rPr>
        <b/>
        <sz val="11"/>
        <rFont val="Calibri"/>
        <family val="2"/>
        <scheme val="minor"/>
      </rPr>
      <t>Suvinil Toque de Brilho Texturatto Premium</t>
    </r>
  </si>
  <si>
    <r>
      <t xml:space="preserve">Selador acrílico premium, acabamento fosco, para uso externo ou interno, lata com 18 litros. Ref. </t>
    </r>
    <r>
      <rPr>
        <b/>
        <sz val="11"/>
        <rFont val="Calibri"/>
        <family val="2"/>
        <scheme val="minor"/>
      </rPr>
      <t>Suvinil ou Leinertex Selador Acrílico</t>
    </r>
  </si>
  <si>
    <r>
      <t xml:space="preserve">Tinta de resina acrílica hidro-repelente para uso interno/externo, cores diversas que serão definidas sob demanda (Branco Gelo, entre outras), lata com 25kg.  Aplicações: acabamentos gerais texturizados. Ref. </t>
    </r>
    <r>
      <rPr>
        <b/>
        <sz val="11"/>
        <rFont val="Calibri"/>
        <family val="2"/>
        <scheme val="minor"/>
      </rPr>
      <t>Leinertex Textucril</t>
    </r>
  </si>
  <si>
    <t>Folha de lâmina de madeira (cor Noce Catedral, entre outras). Ref. Sayerlack</t>
  </si>
  <si>
    <r>
      <t xml:space="preserve">Tinta acrílica premium, acabamento fosco, cores diversas que serão definidas sob demanda (Amarelo Sol, Vermelho Amor, Azul, Preto, entre outras), galão com 18 litros.  Aplicações: texturas e faixas de sinalização nos estacionamentos. Ref. </t>
    </r>
    <r>
      <rPr>
        <b/>
        <sz val="11"/>
        <rFont val="Calibri"/>
        <family val="2"/>
        <scheme val="minor"/>
      </rPr>
      <t>Suvinil Fosco Completo Acrílico Premium</t>
    </r>
  </si>
  <si>
    <r>
      <t xml:space="preserve">Tinta acrílica premium, acabamento acetinado, cores diversas que serão definidas sob demanda (Algodão Egípcio, entre outras), lata de 18 litros. Aplicações: paredes internas da creche e centro de convivência. Ref. </t>
    </r>
    <r>
      <rPr>
        <b/>
        <sz val="11"/>
        <rFont val="Calibri"/>
        <family val="2"/>
        <scheme val="minor"/>
      </rPr>
      <t>Suvinil Toque de Seda Acrílico Premium</t>
    </r>
  </si>
  <si>
    <r>
      <t xml:space="preserve">Tinta esmalte premium, acabamento acetinado, cor branca, galão com 3,6 litros. Aplicações: corrimãos e guarda-corpos do edifício-sede. Ref. </t>
    </r>
    <r>
      <rPr>
        <b/>
        <sz val="11"/>
        <rFont val="Calibri"/>
        <family val="2"/>
        <scheme val="minor"/>
      </rPr>
      <t>Suvinil Cor e Proteção Esmalte Premium Acetinado</t>
    </r>
  </si>
  <si>
    <r>
      <t xml:space="preserve">Tinta acrílica premium, acabamento acetinado, cores diversas que serão definidas sob demanda (Branco Neve, Bristol, entre outras), lata de 18 litros. Aplicações: paredes internas do edifício-sede, elementos vazados e anexos. Ref. </t>
    </r>
    <r>
      <rPr>
        <b/>
        <sz val="11"/>
        <rFont val="Calibri"/>
        <family val="2"/>
        <scheme val="minor"/>
      </rPr>
      <t>Leinertex Super Premium Acrílica</t>
    </r>
  </si>
  <si>
    <r>
      <t xml:space="preserve">Tinta acrílica, acabamento fosco, cores diversas que serão definidas sob demanda (Novo Camurça, Bristol, entre outras), lata de 18 litros.  Aplicações: textura de pilares dos estacionamentos. Ref. </t>
    </r>
    <r>
      <rPr>
        <b/>
        <sz val="11"/>
        <rFont val="Calibri"/>
        <family val="2"/>
        <scheme val="minor"/>
      </rPr>
      <t>Leinertex Evolution Acrílica Standard</t>
    </r>
    <r>
      <rPr>
        <sz val="11"/>
        <rFont val="Calibri"/>
        <family val="2"/>
        <scheme val="minor"/>
      </rPr>
      <t>.</t>
    </r>
  </si>
  <si>
    <r>
      <t xml:space="preserve">Tinta esmalte premium, acabamento brilhante, cores diversas que serão definidas sob demanda (Rio Nilo, Cinza Escuro, entre outras), galão com 3,6 litros.  Aplicações: gradil frontal e tampas metálicas. Ref. </t>
    </r>
    <r>
      <rPr>
        <b/>
        <sz val="11"/>
        <rFont val="Calibri"/>
        <family val="2"/>
        <scheme val="minor"/>
      </rPr>
      <t>Suvinil Cor e Proteção Esmalte Premium Brilhante</t>
    </r>
  </si>
  <si>
    <t>Pasta para polir plástico 296ml. Ref. Meguiars PlastX</t>
  </si>
  <si>
    <t>8.9</t>
  </si>
  <si>
    <t>8.10</t>
  </si>
  <si>
    <t>8.11</t>
  </si>
  <si>
    <t>Galão de abastecimento e transporte de combustíveis e óleo de 5 litros, fabricado em polipropileno. Ref. No-Spill 64984</t>
  </si>
  <si>
    <t>Bomba rotativa para bombonas para transferência de produtos químicos. Ref. Bremen 6986</t>
  </si>
  <si>
    <t>Funil plástico flexível. Ref. Vonder</t>
  </si>
  <si>
    <t>8.12</t>
  </si>
  <si>
    <t>Funil metálico para uso geral. Ref. Cobel 11005</t>
  </si>
  <si>
    <t>8.13</t>
  </si>
  <si>
    <t>Mangueira para transferência de líquidos 1,6m. Ref. Magiflux 14161452</t>
  </si>
  <si>
    <t>5.4</t>
  </si>
  <si>
    <t>5.5</t>
  </si>
  <si>
    <t>5.14</t>
  </si>
  <si>
    <t>20.0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</si>
  <si>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</si>
  <si>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</si>
  <si>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</si>
  <si>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</si>
  <si>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</si>
  <si>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</si>
  <si>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</si>
  <si>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</si>
  <si>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</si>
  <si>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</si>
  <si>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</si>
  <si>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</si>
  <si>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</si>
  <si>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</si>
  <si>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</si>
  <si>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</si>
  <si>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</si>
  <si>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</si>
  <si>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</si>
  <si>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</si>
  <si>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</si>
  <si>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</si>
  <si>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</si>
  <si>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</si>
  <si>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21.0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</si>
  <si>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</si>
  <si>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</si>
  <si>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</si>
  <si>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</si>
  <si>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</si>
  <si>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</si>
  <si>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</si>
  <si>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</si>
  <si>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</si>
  <si>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22.0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</si>
  <si>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</si>
  <si>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</si>
  <si>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</si>
  <si>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</si>
  <si>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</si>
  <si>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</si>
  <si>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</si>
  <si>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</si>
  <si>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</si>
  <si>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</si>
  <si>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</si>
  <si>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</si>
  <si>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</si>
  <si>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</si>
  <si>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</si>
  <si>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</si>
  <si>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</si>
  <si>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23.0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</si>
  <si>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</si>
  <si>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</si>
  <si>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</si>
  <si>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</si>
  <si>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</si>
  <si>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</si>
  <si>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</si>
  <si>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</si>
  <si>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</si>
  <si>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</si>
  <si>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</si>
  <si>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</si>
  <si>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</si>
  <si>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</si>
  <si>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</si>
  <si>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</si>
  <si>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</si>
  <si>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24.0</t>
  </si>
  <si>
    <t>24.25</t>
  </si>
  <si>
    <t>24.26</t>
  </si>
  <si>
    <t>24.27</t>
  </si>
  <si>
    <t>24.28</t>
  </si>
  <si>
    <t>24.29</t>
  </si>
  <si>
    <t>25.10</t>
  </si>
  <si>
    <t>25.11</t>
  </si>
  <si>
    <t>25.12</t>
  </si>
  <si>
    <t>25.13</t>
  </si>
  <si>
    <t>25.14</t>
  </si>
  <si>
    <t>25.15</t>
  </si>
  <si>
    <t>25.16</t>
  </si>
  <si>
    <t>25.17</t>
  </si>
  <si>
    <t>25.18</t>
  </si>
  <si>
    <t>25.19</t>
  </si>
  <si>
    <t>25.20</t>
  </si>
  <si>
    <t>25.21</t>
  </si>
  <si>
    <t>25.22</t>
  </si>
  <si>
    <t>Limpeza de carpetes do mini-auditório, Plenário e Auditório (quantitativo previsto para quatro limpezas anuais) com mão de obra especializada</t>
  </si>
  <si>
    <t>Limpeza e tratamento da água dos espelhos d'água e monumento da praça (área estimada de 1.000m²) com mão de obra especializada, com, pelo menos, 03 (três) visitas semanais.</t>
  </si>
  <si>
    <t>Fornecimento de piso porcelanato Porto Bello Pietra De Vermon Crema Externo 45x45 Bold ou equivalente técnico</t>
  </si>
  <si>
    <t>25.23</t>
  </si>
  <si>
    <t>25.24</t>
  </si>
  <si>
    <t>25.25</t>
  </si>
  <si>
    <t xml:space="preserve"> </t>
  </si>
  <si>
    <r>
      <t xml:space="preserve">Tinta Spray para superfícies de alta temperatura 300ml, cor preta. Ref. </t>
    </r>
    <r>
      <rPr>
        <b/>
        <sz val="11"/>
        <rFont val="Calibri"/>
        <family val="2"/>
        <scheme val="minor"/>
      </rPr>
      <t>Suvinil Spray Alta Temperatura</t>
    </r>
  </si>
  <si>
    <r>
      <t xml:space="preserve">Tinta Spray comum superfícies metálicas 360ml, cor preto fosco e preto brilhante. Ref. </t>
    </r>
    <r>
      <rPr>
        <b/>
        <sz val="11"/>
        <rFont val="Calibri"/>
        <family val="2"/>
        <scheme val="minor"/>
      </rPr>
      <t>Colorgin ou TekBond</t>
    </r>
  </si>
  <si>
    <r>
      <t xml:space="preserve">Tinta acrílica acetinada superlavável, cor branca, galão com 18 litros. Ref. </t>
    </r>
    <r>
      <rPr>
        <b/>
        <sz val="11"/>
        <rFont val="Calibri"/>
        <family val="2"/>
        <scheme val="minor"/>
      </rPr>
      <t>Sherwin Williams Metalatex</t>
    </r>
  </si>
  <si>
    <t>Tanque de parede largo com espelho, em inox cromado, cuba única de até 62 litros, comrpimento estimado em 82cm. Ref. Franke TS 740.</t>
  </si>
  <si>
    <t>Tanque duplo retangular em aço inox cromado, capacidade de 32 litros cada. Ref. Franke 123x53x23 cm</t>
  </si>
  <si>
    <t>24.30</t>
  </si>
  <si>
    <t>24.31</t>
  </si>
  <si>
    <t>Manutenção de eletrodomésticos de limpeza (gasto mensal). Adotado: 0,5%a.m do custo de aquisição por mês após o primeiro ano.</t>
  </si>
  <si>
    <t>%</t>
  </si>
  <si>
    <t>11.11</t>
  </si>
  <si>
    <t>18.24</t>
  </si>
  <si>
    <t>QUANT. 1° ANO</t>
  </si>
  <si>
    <t>QUANT. 2° ANO</t>
  </si>
  <si>
    <t>CUSTO TOTAL 
1° ANO (R$)</t>
  </si>
  <si>
    <t>CUSTO TOTAL 
2° ANO (R$)</t>
  </si>
  <si>
    <t>22.18</t>
  </si>
  <si>
    <t>Guarnição de borracha EPDM para pele de vidro (coluna, folhas, cantos), rolo com 50 metros.</t>
  </si>
  <si>
    <t>CUSTO UNITÁRIO MÉDIO</t>
  </si>
  <si>
    <t>CUSTO TOTAL ESTIMADO 1° ANO</t>
  </si>
  <si>
    <t>CUSTO TOTAL ESTIMADO 2°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</si>
</sst>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_(* #,##0.00_);_(* \(#,##0.00\);_(* \-??_);_(@_)"/>
    <numFmt numFmtId="168" formatCode="[$€]#\!#0.00_);[Red]\([$€]#,##0.00\)"/>
    <numFmt numFmtId="169" formatCode="#,##0.00&quot; &quot;;&quot; (&quot;#,##0.00&quot;)&quot;;&quot; -&quot;#&quot; &quot;;@&quot; &quot;"/>
    <numFmt numFmtId="170" formatCode="#,#00"/>
    <numFmt numFmtId="171" formatCode="General_)"/>
    <numFmt numFmtId="172" formatCode="%#,#00"/>
    <numFmt numFmtId="173" formatCode="#.##000"/>
    <numFmt numFmtId="174" formatCode="[$R$-416]&quot; &quot;#,##0.00;[Red]&quot;-&quot;[$R$-416]&quot; &quot;#,##0.00"/>
    <numFmt numFmtId="175" formatCode="#,"/>
    <numFmt numFmtId="176" formatCode="&quot;R$&quot;\ #,##0.00"/>
    <numFmt numFmtId="177" formatCode="_-[$R$-416]\ * #,##0.00_-;\-[$R$-416]\ * #,##0.00_-;_-[$R$-416]\ * &quot;-&quot;??_-;_-@_-"/>
    <numFmt numFmtId="178" formatCode="0.00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6"/>
      <name val="Arial"/>
      <family val="2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8"/>
      <name val="Times New Roman"/>
      <family val="1"/>
    </font>
    <font>
      <sz val="10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Courier"/>
      <family val="3"/>
    </font>
    <font>
      <b/>
      <sz val="11"/>
      <color indexed="63"/>
      <name val="Calibri"/>
      <family val="2"/>
    </font>
    <font>
      <b/>
      <i/>
      <u/>
      <sz val="11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"/>
      <color indexed="8"/>
      <name val="Courier"/>
      <family val="3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72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7" fontId="5" fillId="0" borderId="0" applyFill="0" applyBorder="0" applyAlignment="0" applyProtection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>
      <alignment vertical="top"/>
    </xf>
    <xf numFmtId="9" fontId="5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top"/>
    </xf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0" borderId="0"/>
    <xf numFmtId="0" fontId="12" fillId="5" borderId="0" applyNumberFormat="0" applyBorder="0" applyAlignment="0" applyProtection="0"/>
    <xf numFmtId="0" fontId="13" fillId="22" borderId="2" applyNumberFormat="0" applyAlignment="0" applyProtection="0"/>
    <xf numFmtId="0" fontId="14" fillId="23" borderId="3" applyNumberFormat="0" applyAlignment="0" applyProtection="0"/>
    <xf numFmtId="0" fontId="15" fillId="0" borderId="0">
      <protection locked="0"/>
    </xf>
    <xf numFmtId="0" fontId="8" fillId="0" borderId="0"/>
    <xf numFmtId="168" fontId="16" fillId="0" borderId="0" applyFont="0" applyFill="0" applyBorder="0" applyAlignment="0" applyProtection="0"/>
    <xf numFmtId="0" fontId="9" fillId="0" borderId="0"/>
    <xf numFmtId="169" fontId="17" fillId="0" borderId="0"/>
    <xf numFmtId="0" fontId="18" fillId="0" borderId="0" applyNumberFormat="0" applyFill="0" applyBorder="0" applyAlignment="0" applyProtection="0"/>
    <xf numFmtId="170" fontId="15" fillId="0" borderId="0">
      <protection locked="0"/>
    </xf>
    <xf numFmtId="0" fontId="19" fillId="6" borderId="0" applyNumberFormat="0" applyBorder="0" applyAlignment="0" applyProtection="0"/>
    <xf numFmtId="0" fontId="20" fillId="0" borderId="0">
      <alignment horizontal="center"/>
    </xf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>
      <alignment horizontal="center" textRotation="9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2" applyNumberFormat="0" applyAlignment="0" applyProtection="0"/>
    <xf numFmtId="0" fontId="26" fillId="0" borderId="7" applyNumberFormat="0" applyFill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2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171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5" fillId="26" borderId="8" applyNumberFormat="0" applyAlignment="0" applyProtection="0"/>
    <xf numFmtId="0" fontId="29" fillId="22" borderId="9" applyNumberFormat="0" applyAlignment="0" applyProtection="0"/>
    <xf numFmtId="172" fontId="15" fillId="0" borderId="0">
      <protection locked="0"/>
    </xf>
    <xf numFmtId="173" fontId="15" fillId="0" borderId="0">
      <protection locked="0"/>
    </xf>
    <xf numFmtId="0" fontId="30" fillId="0" borderId="0"/>
    <xf numFmtId="174" fontId="30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175" fontId="33" fillId="0" borderId="0">
      <protection locked="0"/>
    </xf>
    <xf numFmtId="175" fontId="33" fillId="0" borderId="0">
      <protection locked="0"/>
    </xf>
    <xf numFmtId="49" fontId="4" fillId="0" borderId="0" applyNumberFormat="0" applyFont="0" applyFill="0" applyBorder="0" applyAlignment="0" applyProtection="0">
      <alignment horizontal="center"/>
    </xf>
    <xf numFmtId="49" fontId="4" fillId="0" borderId="0" applyNumberFormat="0" applyFont="0" applyFill="0" applyBorder="0" applyAlignment="0" applyProtection="0">
      <alignment horizontal="center"/>
    </xf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35" fillId="0" borderId="0" xfId="0" applyNumberFormat="1" applyFont="1" applyFill="1"/>
    <xf numFmtId="0" fontId="35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/>
    <xf numFmtId="0" fontId="35" fillId="3" borderId="1" xfId="0" applyFont="1" applyFill="1" applyBorder="1" applyAlignment="1">
      <alignment horizontal="justify"/>
    </xf>
    <xf numFmtId="0" fontId="35" fillId="3" borderId="1" xfId="0" applyFont="1" applyFill="1" applyBorder="1" applyAlignment="1">
      <alignment horizontal="center" vertical="center"/>
    </xf>
    <xf numFmtId="2" fontId="36" fillId="0" borderId="1" xfId="2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2" fontId="35" fillId="3" borderId="1" xfId="0" applyNumberFormat="1" applyFont="1" applyFill="1" applyBorder="1" applyAlignment="1">
      <alignment horizontal="justify"/>
    </xf>
    <xf numFmtId="2" fontId="1" fillId="0" borderId="0" xfId="0" applyNumberFormat="1" applyFont="1" applyFill="1" applyAlignment="1"/>
    <xf numFmtId="2" fontId="36" fillId="0" borderId="1" xfId="2" applyNumberFormat="1" applyFont="1" applyFill="1" applyBorder="1" applyAlignment="1">
      <alignment horizontal="left" vertical="center" wrapText="1"/>
    </xf>
    <xf numFmtId="2" fontId="36" fillId="0" borderId="1" xfId="2" applyNumberFormat="1" applyFont="1" applyFill="1" applyBorder="1" applyAlignment="1">
      <alignment horizontal="center" vertical="center" wrapText="1"/>
    </xf>
    <xf numFmtId="2" fontId="36" fillId="0" borderId="1" xfId="3" applyNumberFormat="1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166" fontId="3" fillId="27" borderId="1" xfId="1" applyNumberFormat="1" applyFont="1" applyFill="1" applyBorder="1" applyAlignment="1">
      <alignment horizontal="center" vertical="center" wrapText="1"/>
    </xf>
    <xf numFmtId="166" fontId="3" fillId="28" borderId="1" xfId="1" applyNumberFormat="1" applyFont="1" applyFill="1" applyBorder="1" applyAlignment="1">
      <alignment horizontal="center" vertical="center" wrapText="1"/>
    </xf>
    <xf numFmtId="166" fontId="3" fillId="29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5" fillId="3" borderId="1" xfId="0" applyFont="1" applyFill="1" applyBorder="1" applyAlignment="1">
      <alignment horizontal="justify" wrapText="1"/>
    </xf>
    <xf numFmtId="166" fontId="3" fillId="3" borderId="1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wrapText="1"/>
    </xf>
    <xf numFmtId="0" fontId="1" fillId="30" borderId="0" xfId="0" applyFont="1" applyFill="1" applyAlignment="1">
      <alignment wrapText="1"/>
    </xf>
    <xf numFmtId="2" fontId="1" fillId="0" borderId="0" xfId="0" applyNumberFormat="1" applyFont="1" applyFill="1"/>
    <xf numFmtId="166" fontId="1" fillId="0" borderId="0" xfId="0" applyNumberFormat="1" applyFont="1" applyFill="1" applyAlignment="1">
      <alignment horizontal="center"/>
    </xf>
    <xf numFmtId="166" fontId="1" fillId="0" borderId="0" xfId="1" applyNumberFormat="1" applyFont="1" applyFill="1"/>
    <xf numFmtId="2" fontId="35" fillId="3" borderId="1" xfId="0" applyNumberFormat="1" applyFont="1" applyFill="1" applyBorder="1" applyAlignment="1">
      <alignment horizontal="justify" wrapText="1"/>
    </xf>
    <xf numFmtId="177" fontId="36" fillId="0" borderId="1" xfId="3" applyNumberFormat="1" applyFont="1" applyFill="1" applyBorder="1" applyAlignment="1" applyProtection="1">
      <alignment horizontal="center" vertical="center" wrapText="1"/>
    </xf>
    <xf numFmtId="177" fontId="35" fillId="3" borderId="1" xfId="0" applyNumberFormat="1" applyFont="1" applyFill="1" applyBorder="1" applyAlignment="1">
      <alignment horizontal="justify" wrapText="1"/>
    </xf>
    <xf numFmtId="2" fontId="36" fillId="0" borderId="1" xfId="3" applyNumberFormat="1" applyFont="1" applyFill="1" applyBorder="1" applyAlignment="1" applyProtection="1">
      <alignment horizontal="center" vertical="center"/>
    </xf>
    <xf numFmtId="177" fontId="36" fillId="0" borderId="1" xfId="3" applyNumberFormat="1" applyFont="1" applyFill="1" applyBorder="1" applyAlignment="1" applyProtection="1">
      <alignment horizontal="center" vertical="center"/>
    </xf>
    <xf numFmtId="2" fontId="36" fillId="2" borderId="1" xfId="2" applyNumberFormat="1" applyFont="1" applyFill="1" applyBorder="1" applyAlignment="1">
      <alignment horizontal="left" vertical="center" wrapText="1"/>
    </xf>
    <xf numFmtId="166" fontId="35" fillId="3" borderId="1" xfId="1" applyFont="1" applyFill="1" applyBorder="1" applyAlignment="1">
      <alignment horizontal="justify" wrapText="1"/>
    </xf>
    <xf numFmtId="166" fontId="3" fillId="3" borderId="1" xfId="1" applyFont="1" applyFill="1" applyBorder="1" applyAlignment="1" applyProtection="1">
      <alignment horizontal="center" vertical="center"/>
    </xf>
    <xf numFmtId="166" fontId="3" fillId="3" borderId="1" xfId="2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166" fontId="35" fillId="3" borderId="1" xfId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2" fontId="36" fillId="3" borderId="1" xfId="3" applyNumberFormat="1" applyFont="1" applyFill="1" applyBorder="1" applyAlignment="1" applyProtection="1">
      <alignment horizontal="center" vertical="center" wrapText="1"/>
    </xf>
    <xf numFmtId="166" fontId="3" fillId="3" borderId="15" xfId="1" applyNumberFormat="1" applyFont="1" applyFill="1" applyBorder="1" applyAlignment="1">
      <alignment horizontal="center" vertical="center" wrapText="1"/>
    </xf>
    <xf numFmtId="0" fontId="3" fillId="0" borderId="14" xfId="2" applyNumberFormat="1" applyFont="1" applyFill="1" applyBorder="1" applyAlignment="1">
      <alignment horizontal="center" vertical="center"/>
    </xf>
    <xf numFmtId="10" fontId="36" fillId="0" borderId="15" xfId="271" applyNumberFormat="1" applyFont="1" applyFill="1" applyBorder="1" applyAlignment="1" applyProtection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166" fontId="36" fillId="2" borderId="15" xfId="1" applyNumberFormat="1" applyFont="1" applyFill="1" applyBorder="1" applyAlignment="1" applyProtection="1">
      <alignment horizontal="center" vertical="center"/>
    </xf>
    <xf numFmtId="10" fontId="3" fillId="3" borderId="18" xfId="271" applyNumberFormat="1" applyFont="1" applyFill="1" applyBorder="1" applyAlignment="1">
      <alignment horizontal="center" vertical="center"/>
    </xf>
    <xf numFmtId="0" fontId="35" fillId="3" borderId="14" xfId="0" applyNumberFormat="1" applyFont="1" applyFill="1" applyBorder="1" applyAlignment="1">
      <alignment horizontal="center" vertical="center" wrapText="1"/>
    </xf>
    <xf numFmtId="0" fontId="3" fillId="0" borderId="14" xfId="2" applyNumberFormat="1" applyFont="1" applyFill="1" applyBorder="1" applyAlignment="1">
      <alignment horizontal="center" vertical="center" wrapText="1"/>
    </xf>
    <xf numFmtId="0" fontId="3" fillId="2" borderId="14" xfId="2" applyNumberFormat="1" applyFont="1" applyFill="1" applyBorder="1" applyAlignment="1">
      <alignment horizontal="center" vertical="center" wrapText="1"/>
    </xf>
    <xf numFmtId="178" fontId="3" fillId="3" borderId="15" xfId="271" applyNumberFormat="1" applyFont="1" applyFill="1" applyBorder="1" applyAlignment="1">
      <alignment horizontal="center" vertical="center" wrapText="1"/>
    </xf>
    <xf numFmtId="178" fontId="35" fillId="3" borderId="15" xfId="271" applyNumberFormat="1" applyFont="1" applyFill="1" applyBorder="1" applyAlignment="1">
      <alignment horizontal="center" vertical="center" wrapText="1"/>
    </xf>
    <xf numFmtId="178" fontId="36" fillId="2" borderId="15" xfId="271" applyNumberFormat="1" applyFont="1" applyFill="1" applyBorder="1" applyAlignment="1" applyProtection="1">
      <alignment horizontal="center" vertical="center" wrapText="1"/>
    </xf>
    <xf numFmtId="178" fontId="3" fillId="3" borderId="18" xfId="271" applyNumberFormat="1" applyFont="1" applyFill="1" applyBorder="1" applyAlignment="1">
      <alignment horizontal="center" vertical="center"/>
    </xf>
    <xf numFmtId="178" fontId="1" fillId="0" borderId="0" xfId="271" applyNumberFormat="1" applyFont="1" applyFill="1" applyAlignment="1">
      <alignment horizontal="center" vertical="center"/>
    </xf>
    <xf numFmtId="178" fontId="36" fillId="0" borderId="15" xfId="27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/>
    <xf numFmtId="0" fontId="1" fillId="0" borderId="1" xfId="0" applyFont="1" applyFill="1" applyBorder="1" applyAlignment="1">
      <alignment wrapText="1"/>
    </xf>
    <xf numFmtId="166" fontId="35" fillId="3" borderId="15" xfId="0" applyNumberFormat="1" applyFont="1" applyFill="1" applyBorder="1" applyAlignment="1">
      <alignment horizontal="justify" wrapText="1"/>
    </xf>
    <xf numFmtId="0" fontId="36" fillId="0" borderId="14" xfId="2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166" fontId="35" fillId="3" borderId="15" xfId="1" applyFont="1" applyFill="1" applyBorder="1" applyAlignment="1">
      <alignment horizontal="justify" wrapText="1"/>
    </xf>
    <xf numFmtId="166" fontId="3" fillId="3" borderId="15" xfId="1" applyNumberFormat="1" applyFont="1" applyFill="1" applyBorder="1" applyAlignment="1" applyProtection="1">
      <alignment horizontal="center" vertical="center"/>
    </xf>
    <xf numFmtId="166" fontId="3" fillId="3" borderId="18" xfId="1" applyFont="1" applyFill="1" applyBorder="1" applyAlignment="1">
      <alignment horizontal="center" vertical="center"/>
    </xf>
    <xf numFmtId="0" fontId="3" fillId="0" borderId="22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6" fontId="35" fillId="3" borderId="1" xfId="0" applyNumberFormat="1" applyFont="1" applyFill="1" applyBorder="1" applyAlignment="1">
      <alignment horizontal="justify" wrapText="1"/>
    </xf>
    <xf numFmtId="2" fontId="3" fillId="31" borderId="1" xfId="2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vertical="center" wrapText="1"/>
    </xf>
    <xf numFmtId="176" fontId="37" fillId="3" borderId="17" xfId="1" applyNumberFormat="1" applyFont="1" applyFill="1" applyBorder="1" applyAlignment="1" applyProtection="1">
      <alignment horizontal="right" vertical="center"/>
    </xf>
    <xf numFmtId="2" fontId="36" fillId="0" borderId="23" xfId="2" applyNumberFormat="1" applyFont="1" applyFill="1" applyBorder="1" applyAlignment="1">
      <alignment horizontal="left" vertical="center" wrapText="1"/>
    </xf>
    <xf numFmtId="166" fontId="3" fillId="3" borderId="1" xfId="2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30" borderId="0" xfId="0" applyFont="1" applyFill="1"/>
    <xf numFmtId="0" fontId="1" fillId="0" borderId="0" xfId="0" applyFont="1" applyFill="1" applyAlignment="1">
      <alignment horizontal="right" vertical="center"/>
    </xf>
    <xf numFmtId="2" fontId="3" fillId="3" borderId="1" xfId="2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2" fontId="36" fillId="0" borderId="23" xfId="2" applyNumberFormat="1" applyFont="1" applyFill="1" applyBorder="1" applyAlignment="1">
      <alignment horizontal="center" vertical="center" wrapText="1"/>
    </xf>
    <xf numFmtId="2" fontId="36" fillId="0" borderId="23" xfId="3" applyNumberFormat="1" applyFont="1" applyFill="1" applyBorder="1" applyAlignment="1" applyProtection="1">
      <alignment horizontal="center" vertical="center" wrapText="1"/>
    </xf>
    <xf numFmtId="177" fontId="36" fillId="0" borderId="23" xfId="3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Alignment="1">
      <alignment horizontal="center"/>
    </xf>
    <xf numFmtId="176" fontId="37" fillId="3" borderId="17" xfId="1" applyNumberFormat="1" applyFont="1" applyFill="1" applyBorder="1" applyAlignment="1" applyProtection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center" vertical="center" wrapText="1"/>
    </xf>
    <xf numFmtId="44" fontId="36" fillId="0" borderId="23" xfId="3" applyNumberFormat="1" applyFont="1" applyFill="1" applyBorder="1" applyAlignment="1" applyProtection="1">
      <alignment horizontal="center" vertical="center" wrapText="1"/>
    </xf>
    <xf numFmtId="44" fontId="36" fillId="0" borderId="23" xfId="3" applyNumberFormat="1" applyFont="1" applyFill="1" applyBorder="1" applyAlignment="1" applyProtection="1">
      <alignment horizontal="right" vertical="center" wrapText="1"/>
    </xf>
    <xf numFmtId="0" fontId="38" fillId="3" borderId="11" xfId="2" applyFont="1" applyFill="1" applyBorder="1" applyAlignment="1">
      <alignment horizontal="center" vertical="center" wrapText="1"/>
    </xf>
    <xf numFmtId="0" fontId="38" fillId="3" borderId="12" xfId="2" applyFont="1" applyFill="1" applyBorder="1" applyAlignment="1">
      <alignment horizontal="center" vertical="center" wrapText="1"/>
    </xf>
    <xf numFmtId="0" fontId="38" fillId="3" borderId="1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166" fontId="3" fillId="3" borderId="16" xfId="1" applyFont="1" applyFill="1" applyBorder="1" applyAlignment="1">
      <alignment horizontal="center" vertical="center"/>
    </xf>
    <xf numFmtId="166" fontId="3" fillId="3" borderId="17" xfId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center" vertical="center" wrapText="1"/>
    </xf>
    <xf numFmtId="166" fontId="3" fillId="3" borderId="15" xfId="1" applyNumberFormat="1" applyFont="1" applyFill="1" applyBorder="1" applyAlignment="1">
      <alignment horizontal="center" vertical="center" wrapText="1"/>
    </xf>
    <xf numFmtId="166" fontId="37" fillId="3" borderId="16" xfId="1" applyFont="1" applyFill="1" applyBorder="1" applyAlignment="1">
      <alignment horizontal="center" vertical="center"/>
    </xf>
    <xf numFmtId="166" fontId="37" fillId="3" borderId="17" xfId="1" applyFont="1" applyFill="1" applyBorder="1" applyAlignment="1">
      <alignment horizontal="center" vertical="center"/>
    </xf>
    <xf numFmtId="0" fontId="38" fillId="3" borderId="19" xfId="2" applyFont="1" applyFill="1" applyBorder="1" applyAlignment="1">
      <alignment horizontal="center" vertical="center" wrapText="1"/>
    </xf>
    <xf numFmtId="0" fontId="38" fillId="3" borderId="20" xfId="2" applyFont="1" applyFill="1" applyBorder="1" applyAlignment="1">
      <alignment horizontal="center" vertical="center" wrapText="1"/>
    </xf>
    <xf numFmtId="0" fontId="38" fillId="3" borderId="21" xfId="2" applyFont="1" applyFill="1" applyBorder="1" applyAlignment="1">
      <alignment horizontal="center" vertical="center" wrapText="1"/>
    </xf>
    <xf numFmtId="176" fontId="1" fillId="38" borderId="15" xfId="0" applyNumberFormat="1" applyFont="1" applyFill="1" applyBorder="1" applyAlignment="1">
      <alignment horizontal="right"/>
    </xf>
    <xf numFmtId="0" fontId="3" fillId="32" borderId="14" xfId="2" applyFont="1" applyFill="1" applyBorder="1" applyAlignment="1">
      <alignment horizontal="center" vertical="center" wrapText="1"/>
    </xf>
    <xf numFmtId="0" fontId="3" fillId="32" borderId="1" xfId="2" applyFont="1" applyFill="1" applyBorder="1" applyAlignment="1">
      <alignment horizontal="center" vertical="center" wrapText="1"/>
    </xf>
    <xf numFmtId="166" fontId="3" fillId="31" borderId="1" xfId="1" applyNumberFormat="1" applyFont="1" applyFill="1" applyBorder="1" applyAlignment="1">
      <alignment horizontal="center" vertical="center" wrapText="1"/>
    </xf>
    <xf numFmtId="166" fontId="3" fillId="35" borderId="1" xfId="1" applyNumberFormat="1" applyFont="1" applyFill="1" applyBorder="1" applyAlignment="1">
      <alignment horizontal="center" vertical="center" wrapText="1"/>
    </xf>
    <xf numFmtId="166" fontId="3" fillId="37" borderId="15" xfId="1" applyNumberFormat="1" applyFont="1" applyFill="1" applyBorder="1" applyAlignment="1">
      <alignment horizontal="center" vertical="center" wrapText="1"/>
    </xf>
    <xf numFmtId="0" fontId="3" fillId="36" borderId="14" xfId="2" applyNumberFormat="1" applyFont="1" applyFill="1" applyBorder="1" applyAlignment="1">
      <alignment horizontal="center" vertical="center"/>
    </xf>
    <xf numFmtId="2" fontId="36" fillId="36" borderId="1" xfId="2" applyNumberFormat="1" applyFont="1" applyFill="1" applyBorder="1" applyAlignment="1">
      <alignment horizontal="left" vertical="center" wrapText="1"/>
    </xf>
    <xf numFmtId="176" fontId="36" fillId="33" borderId="1" xfId="271" applyNumberFormat="1" applyFont="1" applyFill="1" applyBorder="1" applyAlignment="1" applyProtection="1">
      <alignment horizontal="right" vertical="center"/>
    </xf>
    <xf numFmtId="176" fontId="36" fillId="34" borderId="1" xfId="271" applyNumberFormat="1" applyFont="1" applyFill="1" applyBorder="1" applyAlignment="1" applyProtection="1">
      <alignment horizontal="right" vertical="center"/>
    </xf>
    <xf numFmtId="166" fontId="3" fillId="32" borderId="16" xfId="1" applyFont="1" applyFill="1" applyBorder="1" applyAlignment="1">
      <alignment horizontal="center" vertical="center"/>
    </xf>
    <xf numFmtId="166" fontId="3" fillId="32" borderId="17" xfId="1" applyFont="1" applyFill="1" applyBorder="1" applyAlignment="1">
      <alignment horizontal="center" vertical="center"/>
    </xf>
    <xf numFmtId="176" fontId="3" fillId="31" borderId="17" xfId="271" applyNumberFormat="1" applyFont="1" applyFill="1" applyBorder="1" applyAlignment="1">
      <alignment horizontal="right" vertical="center"/>
    </xf>
    <xf numFmtId="176" fontId="3" fillId="35" borderId="17" xfId="271" applyNumberFormat="1" applyFont="1" applyFill="1" applyBorder="1" applyAlignment="1">
      <alignment horizontal="right" vertical="center"/>
    </xf>
    <xf numFmtId="176" fontId="3" fillId="37" borderId="18" xfId="271" applyNumberFormat="1" applyFont="1" applyFill="1" applyBorder="1" applyAlignment="1">
      <alignment horizontal="right" vertical="center"/>
    </xf>
    <xf numFmtId="0" fontId="38" fillId="32" borderId="19" xfId="2" applyFont="1" applyFill="1" applyBorder="1" applyAlignment="1">
      <alignment horizontal="center" vertical="center" wrapText="1"/>
    </xf>
    <xf numFmtId="0" fontId="38" fillId="32" borderId="20" xfId="2" applyFont="1" applyFill="1" applyBorder="1" applyAlignment="1">
      <alignment horizontal="center" vertical="center" wrapText="1"/>
    </xf>
    <xf numFmtId="0" fontId="38" fillId="32" borderId="21" xfId="2" applyFont="1" applyFill="1" applyBorder="1" applyAlignment="1">
      <alignment horizontal="center" vertical="center" wrapText="1"/>
    </xf>
    <xf numFmtId="176" fontId="36" fillId="0" borderId="1" xfId="1" applyNumberFormat="1" applyFont="1" applyFill="1" applyBorder="1" applyAlignment="1" applyProtection="1">
      <alignment horizontal="right" vertical="center"/>
    </xf>
    <xf numFmtId="176" fontId="36" fillId="0" borderId="15" xfId="1" applyNumberFormat="1" applyFont="1" applyFill="1" applyBorder="1" applyAlignment="1" applyProtection="1">
      <alignment horizontal="right" vertical="center"/>
    </xf>
    <xf numFmtId="176" fontId="36" fillId="0" borderId="1" xfId="1" applyNumberFormat="1" applyFont="1" applyFill="1" applyBorder="1" applyAlignment="1" applyProtection="1">
      <alignment horizontal="center" vertical="center"/>
    </xf>
    <xf numFmtId="176" fontId="3" fillId="3" borderId="1" xfId="1" applyNumberFormat="1" applyFont="1" applyFill="1" applyBorder="1" applyAlignment="1" applyProtection="1">
      <alignment horizontal="center" vertical="center"/>
    </xf>
    <xf numFmtId="176" fontId="36" fillId="0" borderId="23" xfId="1" applyNumberFormat="1" applyFont="1" applyFill="1" applyBorder="1" applyAlignment="1" applyProtection="1">
      <alignment horizontal="center" vertical="center"/>
    </xf>
    <xf numFmtId="176" fontId="36" fillId="0" borderId="23" xfId="1" applyNumberFormat="1" applyFont="1" applyFill="1" applyBorder="1" applyAlignment="1" applyProtection="1">
      <alignment horizontal="right" vertical="center"/>
    </xf>
    <xf numFmtId="176" fontId="36" fillId="0" borderId="24" xfId="1" applyNumberFormat="1" applyFont="1" applyFill="1" applyBorder="1" applyAlignment="1" applyProtection="1">
      <alignment horizontal="right" vertical="center"/>
    </xf>
    <xf numFmtId="176" fontId="39" fillId="0" borderId="24" xfId="1" applyNumberFormat="1" applyFont="1" applyFill="1" applyBorder="1" applyAlignment="1" applyProtection="1">
      <alignment horizontal="right" vertical="center"/>
    </xf>
    <xf numFmtId="176" fontId="3" fillId="3" borderId="1" xfId="1" applyNumberFormat="1" applyFont="1" applyFill="1" applyBorder="1" applyAlignment="1" applyProtection="1">
      <alignment horizontal="right" vertical="center"/>
    </xf>
    <xf numFmtId="176" fontId="3" fillId="3" borderId="15" xfId="1" applyNumberFormat="1" applyFont="1" applyFill="1" applyBorder="1" applyAlignment="1" applyProtection="1">
      <alignment horizontal="right" vertical="center"/>
    </xf>
    <xf numFmtId="176" fontId="3" fillId="3" borderId="17" xfId="1" applyNumberFormat="1" applyFont="1" applyFill="1" applyBorder="1" applyAlignment="1">
      <alignment horizontal="right" vertical="center"/>
    </xf>
    <xf numFmtId="176" fontId="3" fillId="3" borderId="18" xfId="1" applyNumberFormat="1" applyFont="1" applyFill="1" applyBorder="1" applyAlignment="1">
      <alignment horizontal="right" vertical="center"/>
    </xf>
    <xf numFmtId="176" fontId="35" fillId="3" borderId="1" xfId="0" applyNumberFormat="1" applyFont="1" applyFill="1" applyBorder="1" applyAlignment="1">
      <alignment horizontal="justify" wrapText="1"/>
    </xf>
    <xf numFmtId="176" fontId="35" fillId="3" borderId="15" xfId="0" applyNumberFormat="1" applyFont="1" applyFill="1" applyBorder="1" applyAlignment="1">
      <alignment horizontal="justify" wrapText="1"/>
    </xf>
    <xf numFmtId="0" fontId="38" fillId="3" borderId="1" xfId="2" applyFont="1" applyFill="1" applyBorder="1" applyAlignment="1">
      <alignment horizontal="center" vertical="center" wrapText="1"/>
    </xf>
    <xf numFmtId="0" fontId="36" fillId="0" borderId="1" xfId="2" applyNumberFormat="1" applyFont="1" applyFill="1" applyBorder="1" applyAlignment="1">
      <alignment horizontal="center" vertical="center"/>
    </xf>
    <xf numFmtId="166" fontId="37" fillId="3" borderId="1" xfId="1" applyFont="1" applyFill="1" applyBorder="1" applyAlignment="1">
      <alignment horizontal="center" vertical="center"/>
    </xf>
    <xf numFmtId="176" fontId="37" fillId="3" borderId="1" xfId="1" applyNumberFormat="1" applyFont="1" applyFill="1" applyBorder="1" applyAlignment="1" applyProtection="1">
      <alignment horizontal="right" vertical="center"/>
    </xf>
    <xf numFmtId="176" fontId="36" fillId="0" borderId="1" xfId="1" applyNumberFormat="1" applyFont="1" applyFill="1" applyBorder="1" applyAlignment="1" applyProtection="1">
      <alignment horizontal="right" vertical="center" wrapText="1"/>
    </xf>
    <xf numFmtId="176" fontId="36" fillId="0" borderId="1" xfId="3" applyNumberFormat="1" applyFont="1" applyFill="1" applyBorder="1" applyAlignment="1" applyProtection="1">
      <alignment horizontal="center" vertical="center" wrapText="1"/>
    </xf>
    <xf numFmtId="176" fontId="35" fillId="3" borderId="1" xfId="1" applyNumberFormat="1" applyFont="1" applyFill="1" applyBorder="1" applyAlignment="1">
      <alignment horizontal="right" vertical="center" wrapText="1"/>
    </xf>
    <xf numFmtId="176" fontId="36" fillId="0" borderId="1" xfId="3" applyNumberFormat="1" applyFont="1" applyFill="1" applyBorder="1" applyAlignment="1" applyProtection="1">
      <alignment horizontal="right" vertical="center" wrapText="1"/>
    </xf>
    <xf numFmtId="176" fontId="35" fillId="3" borderId="15" xfId="1" applyNumberFormat="1" applyFont="1" applyFill="1" applyBorder="1" applyAlignment="1">
      <alignment horizontal="right" vertical="center" wrapText="1"/>
    </xf>
    <xf numFmtId="176" fontId="35" fillId="3" borderId="1" xfId="0" applyNumberFormat="1" applyFont="1" applyFill="1" applyBorder="1" applyAlignment="1">
      <alignment horizontal="right" vertical="center"/>
    </xf>
    <xf numFmtId="176" fontId="35" fillId="3" borderId="15" xfId="0" applyNumberFormat="1" applyFont="1" applyFill="1" applyBorder="1" applyAlignment="1">
      <alignment horizontal="right" vertical="center"/>
    </xf>
    <xf numFmtId="176" fontId="35" fillId="3" borderId="1" xfId="0" applyNumberFormat="1" applyFont="1" applyFill="1" applyBorder="1" applyAlignment="1">
      <alignment horizontal="right" vertical="center" wrapText="1"/>
    </xf>
    <xf numFmtId="176" fontId="35" fillId="3" borderId="15" xfId="0" applyNumberFormat="1" applyFont="1" applyFill="1" applyBorder="1" applyAlignment="1">
      <alignment horizontal="right" vertical="center" wrapText="1"/>
    </xf>
    <xf numFmtId="176" fontId="36" fillId="0" borderId="1" xfId="3" applyNumberFormat="1" applyFont="1" applyFill="1" applyBorder="1" applyAlignment="1" applyProtection="1">
      <alignment horizontal="center" vertical="center"/>
    </xf>
  </cellXfs>
  <cellStyles count="272">
    <cellStyle name="_1  Academia de Policia Memoria" xfId="12"/>
    <cellStyle name="_1  Academia de Policia Memoria_Administração  LIDERTEX" xfId="13"/>
    <cellStyle name="_1  Academia de Policia Memoria_Administração  LIDERTEX_Dúvidas CANAÃ ORÇAMENTO" xfId="14"/>
    <cellStyle name="_1  Academia de Policia Memoria_Administração  LIDERTEX_Dúvidas SENAI 2" xfId="15"/>
    <cellStyle name="_1  Academia de Policia Memoria_Administração  LIDERTEX_Dúvidas SENAI CANAÃ (1)" xfId="16"/>
    <cellStyle name="_1  Academia de Policia Memoria_Administração  LIDERTEX_Dúvidas SENAI CANAÃ (3)" xfId="17"/>
    <cellStyle name="_1  Academia de Policia Memoria_Concreto Blocos 1,2 e 3 Cachoeira Grande" xfId="18"/>
    <cellStyle name="_1  Academia de Policia Memoria_Dúvidas CANAÃ ORÇAMENTO" xfId="19"/>
    <cellStyle name="_1  Academia de Policia Memoria_Dúvidas SENAI 2" xfId="20"/>
    <cellStyle name="_1  Academia de Policia Memoria_Dúvidas SENAI CANAÃ (1)" xfId="21"/>
    <cellStyle name="_1  Academia de Policia Memoria_Dúvidas SENAI CANAÃ (3)" xfId="22"/>
    <cellStyle name="_1  Academia de Policia Memoria_Galpão  LIDERTEX memória" xfId="23"/>
    <cellStyle name="_1  Academia de Policia Memoria_Galpão  LIDERTEX memória_Dúvidas CANAÃ ORÇAMENTO" xfId="24"/>
    <cellStyle name="_1  Academia de Policia Memoria_Galpão  LIDERTEX memória_Dúvidas SENAI 2" xfId="25"/>
    <cellStyle name="_1  Academia de Policia Memoria_Galpão  LIDERTEX memória_Dúvidas SENAI CANAÃ (1)" xfId="26"/>
    <cellStyle name="_1  Academia de Policia Memoria_Galpão  LIDERTEX memória_Dúvidas SENAI CANAÃ (3)" xfId="27"/>
    <cellStyle name="_1  Academia de Policia Memoria_Guarita LIDERTEX" xfId="28"/>
    <cellStyle name="_1  Academia de Policia Memoria_Guarita LIDERTEX_Dúvidas CANAÃ ORÇAMENTO" xfId="29"/>
    <cellStyle name="_1  Academia de Policia Memoria_Guarita LIDERTEX_Dúvidas SENAI 2" xfId="30"/>
    <cellStyle name="_1  Academia de Policia Memoria_Guarita LIDERTEX_Dúvidas SENAI CANAÃ (1)" xfId="31"/>
    <cellStyle name="_1  Academia de Policia Memoria_Guarita LIDERTEX_Dúvidas SENAI CANAÃ (3)" xfId="32"/>
    <cellStyle name="_1  Academia de Policia Memoria_LIDERTEX - ORÇAMENTO E CRONOGRAMA" xfId="33"/>
    <cellStyle name="_1  Academia de Policia Memoria_PQ TECNOLÓGICO_ADITIVO N.01_ENGEBRAS_(Comentado pela Engª Mirtes)" xfId="34"/>
    <cellStyle name="_1  Academia de Policia Memoria_Refeitório  LIDERTEX" xfId="35"/>
    <cellStyle name="_1  Academia de Policia Memoria_Refeitório  LIDERTEX_Dúvidas CANAÃ ORÇAMENTO" xfId="36"/>
    <cellStyle name="_1  Academia de Policia Memoria_Refeitório  LIDERTEX_Dúvidas SENAI 2" xfId="37"/>
    <cellStyle name="_1  Academia de Policia Memoria_Refeitório  LIDERTEX_Dúvidas SENAI CANAÃ (1)" xfId="38"/>
    <cellStyle name="_1  Academia de Policia Memoria_Refeitório  LIDERTEX_Dúvidas SENAI CANAÃ (3)" xfId="39"/>
    <cellStyle name="_Centro Comunitário de Buenolândia MEMORIA DE ALVENARIA" xfId="40"/>
    <cellStyle name="_Flex Memoria" xfId="41"/>
    <cellStyle name="_Flex Memoria_Administração  LIDERTEX" xfId="42"/>
    <cellStyle name="_Flex Memoria_Administração  LIDERTEX_Dúvidas CANAÃ ORÇAMENTO" xfId="43"/>
    <cellStyle name="_Flex Memoria_Administração  LIDERTEX_Dúvidas SENAI 2" xfId="44"/>
    <cellStyle name="_Flex Memoria_Administração  LIDERTEX_Dúvidas SENAI CANAÃ (1)" xfId="45"/>
    <cellStyle name="_Flex Memoria_Administração  LIDERTEX_Dúvidas SENAI CANAÃ (3)" xfId="46"/>
    <cellStyle name="_Flex Memoria_Concreto Blocos 1,2 e 3 Cachoeira Grande" xfId="47"/>
    <cellStyle name="_Flex Memoria_Dúvidas CANAÃ ORÇAMENTO" xfId="48"/>
    <cellStyle name="_Flex Memoria_Dúvidas SENAI 2" xfId="49"/>
    <cellStyle name="_Flex Memoria_Dúvidas SENAI CANAÃ (1)" xfId="50"/>
    <cellStyle name="_Flex Memoria_Dúvidas SENAI CANAÃ (3)" xfId="51"/>
    <cellStyle name="_Flex Memoria_Galpão  LIDERTEX memória" xfId="52"/>
    <cellStyle name="_Flex Memoria_Galpão  LIDERTEX memória_Dúvidas CANAÃ ORÇAMENTO" xfId="53"/>
    <cellStyle name="_Flex Memoria_Galpão  LIDERTEX memória_Dúvidas SENAI 2" xfId="54"/>
    <cellStyle name="_Flex Memoria_Galpão  LIDERTEX memória_Dúvidas SENAI CANAÃ (1)" xfId="55"/>
    <cellStyle name="_Flex Memoria_Galpão  LIDERTEX memória_Dúvidas SENAI CANAÃ (3)" xfId="56"/>
    <cellStyle name="_Flex Memoria_Guarita LIDERTEX" xfId="57"/>
    <cellStyle name="_Flex Memoria_Guarita LIDERTEX_Dúvidas CANAÃ ORÇAMENTO" xfId="58"/>
    <cellStyle name="_Flex Memoria_Guarita LIDERTEX_Dúvidas SENAI 2" xfId="59"/>
    <cellStyle name="_Flex Memoria_Guarita LIDERTEX_Dúvidas SENAI CANAÃ (1)" xfId="60"/>
    <cellStyle name="_Flex Memoria_Guarita LIDERTEX_Dúvidas SENAI CANAÃ (3)" xfId="61"/>
    <cellStyle name="_Flex Memoria_LIDERTEX - ORÇAMENTO E CRONOGRAMA" xfId="62"/>
    <cellStyle name="_Flex Memoria_PQ TECNOLÓGICO_ADITIVO N.01_ENGEBRAS_(Comentado pela Engª Mirtes)" xfId="63"/>
    <cellStyle name="_Flex Memoria_Refeitório  LIDERTEX" xfId="64"/>
    <cellStyle name="_Flex Memoria_Refeitório  LIDERTEX_Dúvidas CANAÃ ORÇAMENTO" xfId="65"/>
    <cellStyle name="_Flex Memoria_Refeitório  LIDERTEX_Dúvidas SENAI 2" xfId="66"/>
    <cellStyle name="_Flex Memoria_Refeitório  LIDERTEX_Dúvidas SENAI CANAÃ (1)" xfId="67"/>
    <cellStyle name="_Flex Memoria_Refeitório  LIDERTEX_Dúvidas SENAI CANAÃ (3)" xfId="68"/>
    <cellStyle name="_Hotel Canoas" xfId="69"/>
    <cellStyle name="_Planilha alvenaria SALÃO DE EVENTOS BALNEÁRIO CACHOEIRA GRANDE" xfId="70"/>
    <cellStyle name="_Planilha para levantamento de alvenaria" xfId="71"/>
    <cellStyle name="_Planilha para levantamento de revestimento" xfId="72"/>
    <cellStyle name="_Planilha Revestimentos SALÃO DE EVENTOS BALNEÁRIO CACHOEIRA GRANDE" xfId="73"/>
    <cellStyle name="_PLANILHAS  VESTIÁRIOS CACHOEIRA GRANDE" xfId="74"/>
    <cellStyle name="_PLANILHAS GUARITA.PORTARIA BALNEÁRIO CACHOEIRA GRANDE" xfId="75"/>
    <cellStyle name="_SENAC Caldas Novas Memoria" xfId="76"/>
    <cellStyle name="20% - Accent1" xfId="77"/>
    <cellStyle name="20% - Accent2" xfId="78"/>
    <cellStyle name="20% - Accent3" xfId="79"/>
    <cellStyle name="20% - Accent4" xfId="80"/>
    <cellStyle name="20% - Accent5" xfId="81"/>
    <cellStyle name="20% - Accent6" xfId="82"/>
    <cellStyle name="40% - Accent1" xfId="83"/>
    <cellStyle name="40% - Accent2" xfId="84"/>
    <cellStyle name="40% - Accent3" xfId="85"/>
    <cellStyle name="40% - Accent4" xfId="86"/>
    <cellStyle name="40% - Accent5" xfId="87"/>
    <cellStyle name="40% - Accent6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" xfId="95"/>
    <cellStyle name="Accent2" xfId="96"/>
    <cellStyle name="Accent3" xfId="97"/>
    <cellStyle name="Accent4" xfId="98"/>
    <cellStyle name="Accent5" xfId="99"/>
    <cellStyle name="Accent6" xfId="100"/>
    <cellStyle name="arrafo de 5" xfId="101"/>
    <cellStyle name="Bad" xfId="102"/>
    <cellStyle name="Calculation" xfId="103"/>
    <cellStyle name="Check Cell" xfId="104"/>
    <cellStyle name="Data" xfId="105"/>
    <cellStyle name="Estilo 1" xfId="106"/>
    <cellStyle name="Euro" xfId="107"/>
    <cellStyle name="Excel Built-in Normal" xfId="108"/>
    <cellStyle name="Excel_BuiltIn_Comma" xfId="109"/>
    <cellStyle name="Explanatory Text" xfId="110"/>
    <cellStyle name="Fixo" xfId="111"/>
    <cellStyle name="Good" xfId="112"/>
    <cellStyle name="Heading" xfId="113"/>
    <cellStyle name="Heading 1" xfId="114"/>
    <cellStyle name="Heading 2" xfId="115"/>
    <cellStyle name="Heading 3" xfId="116"/>
    <cellStyle name="Heading 4" xfId="117"/>
    <cellStyle name="Heading1" xfId="118"/>
    <cellStyle name="Hyperlink 2" xfId="119"/>
    <cellStyle name="Input" xfId="120"/>
    <cellStyle name="Linked Cell" xfId="121"/>
    <cellStyle name="Moeda" xfId="1" builtinId="4"/>
    <cellStyle name="Moeda 2" xfId="7"/>
    <cellStyle name="Moeda 2 2" xfId="122"/>
    <cellStyle name="Moeda 3" xfId="123"/>
    <cellStyle name="Moeda 4" xfId="124"/>
    <cellStyle name="Moeda 5" xfId="125"/>
    <cellStyle name="Neutral" xfId="126"/>
    <cellStyle name="Normal" xfId="0" builtinId="0"/>
    <cellStyle name="Normal 10" xfId="127"/>
    <cellStyle name="Normal 11" xfId="128"/>
    <cellStyle name="Normal 12" xfId="129"/>
    <cellStyle name="Normal 13" xfId="130"/>
    <cellStyle name="Normal 14" xfId="131"/>
    <cellStyle name="Normal 15" xfId="132"/>
    <cellStyle name="Normal 16" xfId="133"/>
    <cellStyle name="Normal 17" xfId="134"/>
    <cellStyle name="Normal 18" xfId="135"/>
    <cellStyle name="Normal 19" xfId="136"/>
    <cellStyle name="Normal 2" xfId="4"/>
    <cellStyle name="Normal 2 10" xfId="8"/>
    <cellStyle name="Normal 2 11" xfId="137"/>
    <cellStyle name="Normal 2 12" xfId="138"/>
    <cellStyle name="Normal 2 13" xfId="139"/>
    <cellStyle name="Normal 2 14" xfId="140"/>
    <cellStyle name="Normal 2 15" xfId="141"/>
    <cellStyle name="Normal 2 16" xfId="142"/>
    <cellStyle name="Normal 2 17" xfId="143"/>
    <cellStyle name="Normal 2 18" xfId="144"/>
    <cellStyle name="Normal 2 19" xfId="145"/>
    <cellStyle name="Normal 2 2" xfId="146"/>
    <cellStyle name="Normal 2 20" xfId="147"/>
    <cellStyle name="Normal 2 3" xfId="148"/>
    <cellStyle name="Normal 2 4" xfId="149"/>
    <cellStyle name="Normal 2 5" xfId="150"/>
    <cellStyle name="Normal 2 6" xfId="151"/>
    <cellStyle name="Normal 2 7" xfId="152"/>
    <cellStyle name="Normal 2 8" xfId="153"/>
    <cellStyle name="Normal 2 9" xfId="154"/>
    <cellStyle name="Normal 2_1  Academia de Policia Memoria" xfId="155"/>
    <cellStyle name="Normal 20" xfId="156"/>
    <cellStyle name="Normal 21" xfId="157"/>
    <cellStyle name="Normal 22" xfId="158"/>
    <cellStyle name="Normal 23" xfId="159"/>
    <cellStyle name="Normal 24" xfId="160"/>
    <cellStyle name="Normal 25" xfId="161"/>
    <cellStyle name="Normal 26" xfId="162"/>
    <cellStyle name="Normal 27" xfId="163"/>
    <cellStyle name="Normal 28" xfId="164"/>
    <cellStyle name="Normal 29" xfId="165"/>
    <cellStyle name="Normal 3" xfId="2"/>
    <cellStyle name="Normal 30" xfId="166"/>
    <cellStyle name="Normal 31" xfId="167"/>
    <cellStyle name="Normal 32" xfId="168"/>
    <cellStyle name="Normal 33" xfId="169"/>
    <cellStyle name="Normal 34" xfId="170"/>
    <cellStyle name="Normal 35" xfId="171"/>
    <cellStyle name="Normal 36" xfId="172"/>
    <cellStyle name="Normal 37" xfId="173"/>
    <cellStyle name="Normal 38" xfId="174"/>
    <cellStyle name="Normal 39" xfId="175"/>
    <cellStyle name="Normal 4" xfId="5"/>
    <cellStyle name="Normal 40" xfId="176"/>
    <cellStyle name="Normal 41" xfId="177"/>
    <cellStyle name="Normal 42" xfId="178"/>
    <cellStyle name="Normal 43" xfId="179"/>
    <cellStyle name="Normal 44" xfId="180"/>
    <cellStyle name="Normal 45" xfId="181"/>
    <cellStyle name="Normal 46" xfId="182"/>
    <cellStyle name="Normal 47" xfId="183"/>
    <cellStyle name="Normal 48" xfId="184"/>
    <cellStyle name="Normal 49" xfId="185"/>
    <cellStyle name="Normal 5" xfId="9"/>
    <cellStyle name="Normal 50" xfId="186"/>
    <cellStyle name="Normal 51" xfId="187"/>
    <cellStyle name="Normal 52" xfId="188"/>
    <cellStyle name="Normal 53" xfId="189"/>
    <cellStyle name="Normal 54" xfId="190"/>
    <cellStyle name="Normal 55" xfId="191"/>
    <cellStyle name="Normal 56" xfId="10"/>
    <cellStyle name="Normal 6" xfId="192"/>
    <cellStyle name="Normal 7" xfId="193"/>
    <cellStyle name="Normal 8" xfId="194"/>
    <cellStyle name="Normal 9" xfId="195"/>
    <cellStyle name="Nota 10" xfId="196"/>
    <cellStyle name="Nota 11" xfId="197"/>
    <cellStyle name="Nota 12" xfId="198"/>
    <cellStyle name="Nota 13" xfId="199"/>
    <cellStyle name="Nota 14" xfId="200"/>
    <cellStyle name="Nota 15" xfId="201"/>
    <cellStyle name="Nota 16" xfId="202"/>
    <cellStyle name="Nota 17" xfId="203"/>
    <cellStyle name="Nota 18" xfId="204"/>
    <cellStyle name="Nota 19" xfId="205"/>
    <cellStyle name="Nota 2" xfId="206"/>
    <cellStyle name="Nota 20" xfId="207"/>
    <cellStyle name="Nota 21" xfId="208"/>
    <cellStyle name="Nota 22" xfId="209"/>
    <cellStyle name="Nota 23" xfId="210"/>
    <cellStyle name="Nota 24" xfId="211"/>
    <cellStyle name="Nota 25" xfId="212"/>
    <cellStyle name="Nota 26" xfId="213"/>
    <cellStyle name="Nota 27" xfId="214"/>
    <cellStyle name="Nota 28" xfId="215"/>
    <cellStyle name="Nota 29" xfId="216"/>
    <cellStyle name="Nota 3" xfId="217"/>
    <cellStyle name="Nota 30" xfId="218"/>
    <cellStyle name="Nota 31" xfId="219"/>
    <cellStyle name="Nota 32" xfId="220"/>
    <cellStyle name="Nota 33" xfId="221"/>
    <cellStyle name="Nota 34" xfId="222"/>
    <cellStyle name="Nota 35" xfId="223"/>
    <cellStyle name="Nota 36" xfId="224"/>
    <cellStyle name="Nota 37" xfId="225"/>
    <cellStyle name="Nota 38" xfId="226"/>
    <cellStyle name="Nota 39" xfId="227"/>
    <cellStyle name="Nota 4" xfId="228"/>
    <cellStyle name="Nota 40" xfId="229"/>
    <cellStyle name="Nota 41" xfId="230"/>
    <cellStyle name="Nota 42" xfId="231"/>
    <cellStyle name="Nota 43" xfId="232"/>
    <cellStyle name="Nota 44" xfId="233"/>
    <cellStyle name="Nota 45" xfId="234"/>
    <cellStyle name="Nota 46" xfId="235"/>
    <cellStyle name="Nota 47" xfId="236"/>
    <cellStyle name="Nota 48" xfId="237"/>
    <cellStyle name="Nota 49" xfId="238"/>
    <cellStyle name="Nota 5" xfId="239"/>
    <cellStyle name="Nota 50" xfId="240"/>
    <cellStyle name="Nota 51" xfId="241"/>
    <cellStyle name="Nota 52" xfId="242"/>
    <cellStyle name="Nota 53" xfId="243"/>
    <cellStyle name="Nota 54" xfId="244"/>
    <cellStyle name="Nota 55" xfId="245"/>
    <cellStyle name="Nota 6" xfId="246"/>
    <cellStyle name="Nota 7" xfId="247"/>
    <cellStyle name="Nota 8" xfId="248"/>
    <cellStyle name="Nota 9" xfId="249"/>
    <cellStyle name="Note" xfId="250"/>
    <cellStyle name="Output" xfId="251"/>
    <cellStyle name="Percentual" xfId="252"/>
    <cellStyle name="Ponto" xfId="253"/>
    <cellStyle name="Porcentagem" xfId="271" builtinId="5"/>
    <cellStyle name="Porcentagem 2" xfId="11"/>
    <cellStyle name="Result" xfId="254"/>
    <cellStyle name="Result2" xfId="255"/>
    <cellStyle name="Separador de milhares 2" xfId="6"/>
    <cellStyle name="Separador de milhares 2 2" xfId="256"/>
    <cellStyle name="Separador de milhares 3" xfId="257"/>
    <cellStyle name="Separador de milhares 3 2" xfId="258"/>
    <cellStyle name="Separador de milhares 4" xfId="259"/>
    <cellStyle name="Separador de milhares 5" xfId="260"/>
    <cellStyle name="Separador de milhares 6" xfId="261"/>
    <cellStyle name="Separador de milhares 7" xfId="262"/>
    <cellStyle name="Separador de milhares 8" xfId="263"/>
    <cellStyle name="Title" xfId="264"/>
    <cellStyle name="Título 1 1" xfId="265"/>
    <cellStyle name="Titulo1" xfId="266"/>
    <cellStyle name="Titulo2" xfId="267"/>
    <cellStyle name="UN" xfId="268"/>
    <cellStyle name="UN." xfId="269"/>
    <cellStyle name="Vírgula 2" xfId="3"/>
    <cellStyle name="Warning Text" xfId="2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9"/>
  <sheetViews>
    <sheetView zoomScaleNormal="100" zoomScaleSheetLayoutView="100" workbookViewId="0">
      <selection activeCell="G11" sqref="A1:G11"/>
    </sheetView>
  </sheetViews>
  <sheetFormatPr defaultColWidth="9.140625" defaultRowHeight="15"/>
  <cols>
    <col min="1" max="1" width="8.7109375" style="1" customWidth="1"/>
    <col min="2" max="2" width="40.28515625" style="18" customWidth="1"/>
    <col min="3" max="3" width="19.7109375" style="24" customWidth="1"/>
    <col min="4" max="4" width="18.28515625" style="18" customWidth="1"/>
    <col min="5" max="5" width="18.5703125" style="18" customWidth="1"/>
    <col min="6" max="6" width="17.5703125" style="18" customWidth="1"/>
    <col min="7" max="7" width="19.140625" style="18" customWidth="1"/>
    <col min="8" max="8" width="24" style="18" customWidth="1"/>
    <col min="9" max="16384" width="9.140625" style="18"/>
  </cols>
  <sheetData>
    <row r="1" spans="1:8" ht="29.25" customHeight="1">
      <c r="A1" s="125" t="s">
        <v>395</v>
      </c>
      <c r="B1" s="126"/>
      <c r="C1" s="126"/>
      <c r="D1" s="126"/>
      <c r="E1" s="126"/>
      <c r="F1" s="126"/>
      <c r="G1" s="127"/>
    </row>
    <row r="2" spans="1:8" ht="30">
      <c r="A2" s="111" t="s">
        <v>397</v>
      </c>
      <c r="B2" s="112" t="s">
        <v>3</v>
      </c>
      <c r="C2" s="113" t="s">
        <v>517</v>
      </c>
      <c r="D2" s="113" t="s">
        <v>518</v>
      </c>
      <c r="E2" s="114" t="s">
        <v>519</v>
      </c>
      <c r="F2" s="114" t="s">
        <v>520</v>
      </c>
      <c r="G2" s="115" t="s">
        <v>629</v>
      </c>
    </row>
    <row r="3" spans="1:8">
      <c r="A3" s="116" t="s">
        <v>459</v>
      </c>
      <c r="B3" s="117" t="s">
        <v>13</v>
      </c>
      <c r="C3" s="118">
        <f>VALOR_MENSAL_MO*(1+TAXA_LDI)</f>
        <v>249870.79569538293</v>
      </c>
      <c r="D3" s="118">
        <f>C3*12</f>
        <v>2998449.5483445954</v>
      </c>
      <c r="E3" s="119">
        <f>VALOR_MENSAL_MO*(1+TAXA_LDI)</f>
        <v>249870.79569538293</v>
      </c>
      <c r="F3" s="119">
        <f>E3*12</f>
        <v>2998449.5483445954</v>
      </c>
      <c r="G3" s="110">
        <f>F3+D3</f>
        <v>5996899.0966891907</v>
      </c>
    </row>
    <row r="4" spans="1:8">
      <c r="A4" s="116" t="s">
        <v>597</v>
      </c>
      <c r="B4" s="117" t="s">
        <v>598</v>
      </c>
      <c r="C4" s="118">
        <f>D4/12</f>
        <v>15600.693877551026</v>
      </c>
      <c r="D4" s="118">
        <f>VALOR_EXAMES_SEGURANCA_TRABALHO_1ANO*(1+TAXA_LDI)</f>
        <v>187208.32653061231</v>
      </c>
      <c r="E4" s="119">
        <f>F4/12</f>
        <v>9212.163265306126</v>
      </c>
      <c r="F4" s="119">
        <f>VALOR_EXAMES_SEGURANCA_TRABALHO_2ANO*(1+TAXA_LDI)</f>
        <v>110545.95918367351</v>
      </c>
      <c r="G4" s="110">
        <f t="shared" ref="G4:G10" si="0">F4+D4</f>
        <v>297754.2857142858</v>
      </c>
    </row>
    <row r="5" spans="1:8">
      <c r="A5" s="116" t="s">
        <v>460</v>
      </c>
      <c r="B5" s="117" t="s">
        <v>396</v>
      </c>
      <c r="C5" s="118">
        <f>D5/12</f>
        <v>5533.7217346938778</v>
      </c>
      <c r="D5" s="118">
        <f>VALOR_EPIS_1ANO*(1+TAXA_LDI)</f>
        <v>66404.660816326534</v>
      </c>
      <c r="E5" s="119">
        <f>F5/12</f>
        <v>5443.4498979591845</v>
      </c>
      <c r="F5" s="119">
        <f>VALOR_EPIS_2ANO*(1+TAXA_LDI)</f>
        <v>65321.398775510213</v>
      </c>
      <c r="G5" s="110">
        <f t="shared" si="0"/>
        <v>131726.05959183676</v>
      </c>
    </row>
    <row r="6" spans="1:8">
      <c r="A6" s="116" t="s">
        <v>461</v>
      </c>
      <c r="B6" s="117" t="s">
        <v>455</v>
      </c>
      <c r="C6" s="118">
        <f>D6/12</f>
        <v>43495.201020408167</v>
      </c>
      <c r="D6" s="118">
        <f>VALOR_UTENSILIOS_HIGIENIZACAO_1ANO*(1+TAXA_LDI)</f>
        <v>521942.41224489803</v>
      </c>
      <c r="E6" s="119">
        <f>F6/12</f>
        <v>31618.249883673478</v>
      </c>
      <c r="F6" s="119">
        <f>VALOR_UTENSILIOS_HIGIENIZACAO_2ANO*(1+TAXA_LDI)</f>
        <v>379418.99860408175</v>
      </c>
      <c r="G6" s="110">
        <f t="shared" si="0"/>
        <v>901361.41084897984</v>
      </c>
    </row>
    <row r="7" spans="1:8">
      <c r="A7" s="116" t="s">
        <v>462</v>
      </c>
      <c r="B7" s="117" t="s">
        <v>456</v>
      </c>
      <c r="C7" s="118">
        <f>VALOR_INSUMOS_HIGIENIZACAO_1ANO*(1+TAXA_LDI)</f>
        <v>38645.940816326533</v>
      </c>
      <c r="D7" s="118">
        <f>C7*12</f>
        <v>463751.28979591839</v>
      </c>
      <c r="E7" s="119">
        <f>VALOR_INSUMOS_HIGIENIZACAO_2ANO*(1+TAXA_LDI)</f>
        <v>38645.940816326533</v>
      </c>
      <c r="F7" s="119">
        <f>E7*12</f>
        <v>463751.28979591839</v>
      </c>
      <c r="G7" s="110">
        <f t="shared" si="0"/>
        <v>927502.57959183678</v>
      </c>
    </row>
    <row r="8" spans="1:8">
      <c r="A8" s="116" t="s">
        <v>463</v>
      </c>
      <c r="B8" s="117" t="s">
        <v>457</v>
      </c>
      <c r="C8" s="118">
        <f>D8/12</f>
        <v>5842.7083673469415</v>
      </c>
      <c r="D8" s="118">
        <f>VALOR_INSUMOS_CONSERVACAO_1ANO*(1+TAXA_LDI)</f>
        <v>70112.500408163294</v>
      </c>
      <c r="E8" s="119">
        <f>F8/12</f>
        <v>5593.6751020408165</v>
      </c>
      <c r="F8" s="119">
        <f>VALOR_INSUMOS_CONSERVACAO_2ANO*(1+TAXA_LDI)</f>
        <v>67124.101224489801</v>
      </c>
      <c r="G8" s="110">
        <f t="shared" si="0"/>
        <v>137236.6016326531</v>
      </c>
    </row>
    <row r="9" spans="1:8">
      <c r="A9" s="116" t="s">
        <v>464</v>
      </c>
      <c r="B9" s="117" t="s">
        <v>731</v>
      </c>
      <c r="C9" s="118">
        <f>D9/12</f>
        <v>22914.015142857152</v>
      </c>
      <c r="D9" s="118">
        <f>VALOR_FORROS_PINTURAS_1ANO*(1+TAXA_LDI)</f>
        <v>274968.18171428581</v>
      </c>
      <c r="E9" s="119">
        <f>F9/12</f>
        <v>22833.903714285723</v>
      </c>
      <c r="F9" s="119">
        <f>VALOR_FORROS_PINTURAS_2ANO*(1+TAXA_LDI)</f>
        <v>274006.84457142866</v>
      </c>
      <c r="G9" s="110">
        <f t="shared" si="0"/>
        <v>548975.02628571447</v>
      </c>
    </row>
    <row r="10" spans="1:8">
      <c r="A10" s="116" t="s">
        <v>730</v>
      </c>
      <c r="B10" s="117" t="s">
        <v>458</v>
      </c>
      <c r="C10" s="118">
        <f>D10/12</f>
        <v>35822.635918367356</v>
      </c>
      <c r="D10" s="118">
        <f>VALOT_TOTAL_PISOS_1ANO*(1+TAXA_LDI)</f>
        <v>429871.6310204083</v>
      </c>
      <c r="E10" s="119">
        <f>F10/12</f>
        <v>34675.54918367348</v>
      </c>
      <c r="F10" s="119">
        <f>VALOT_TOTAL_PISOS_2ANO*(1+TAXA_LDI)</f>
        <v>416106.59020408173</v>
      </c>
      <c r="G10" s="110">
        <f t="shared" si="0"/>
        <v>845978.22122449009</v>
      </c>
    </row>
    <row r="11" spans="1:8" s="8" customFormat="1" ht="23.25" customHeight="1" thickBot="1">
      <c r="A11" s="120" t="s">
        <v>398</v>
      </c>
      <c r="B11" s="121"/>
      <c r="C11" s="122">
        <f>SUM(C3:C10)</f>
        <v>417725.71257293399</v>
      </c>
      <c r="D11" s="122">
        <f>SUM(D3:D10)</f>
        <v>5012708.5508752083</v>
      </c>
      <c r="E11" s="123">
        <f>SUM(E3:E10)</f>
        <v>397893.72755864821</v>
      </c>
      <c r="F11" s="123">
        <f>SUM(F3:F10)</f>
        <v>4774724.7307037786</v>
      </c>
      <c r="G11" s="124">
        <f>SUM(G3:G10)</f>
        <v>9787433.2815789878</v>
      </c>
    </row>
    <row r="15" spans="1:8">
      <c r="H15" s="77" t="s">
        <v>961</v>
      </c>
    </row>
    <row r="19" spans="3:3">
      <c r="C19" s="86"/>
    </row>
  </sheetData>
  <mergeCells count="2">
    <mergeCell ref="A11:B11"/>
    <mergeCell ref="A1:G1"/>
  </mergeCells>
  <printOptions horizontalCentered="1"/>
  <pageMargins left="0.51181102362204722" right="0.51181102362204722" top="1.1811023622047245" bottom="0.78740157480314965" header="0.31496062992125984" footer="0.31496062992125984"/>
  <pageSetup paperSize="9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79"/>
  <sheetViews>
    <sheetView view="pageBreakPreview" zoomScale="85" zoomScaleNormal="100" zoomScaleSheetLayoutView="85" workbookViewId="0">
      <selection activeCell="K79" sqref="A1:K79"/>
    </sheetView>
  </sheetViews>
  <sheetFormatPr defaultColWidth="9.140625" defaultRowHeight="15"/>
  <cols>
    <col min="1" max="1" width="6.5703125" style="3" customWidth="1"/>
    <col min="2" max="2" width="55.28515625" style="7" customWidth="1"/>
    <col min="3" max="3" width="5.5703125" style="7" customWidth="1"/>
    <col min="4" max="5" width="17.28515625" style="10" customWidth="1"/>
    <col min="6" max="8" width="17.28515625" style="23" hidden="1" customWidth="1"/>
    <col min="9" max="9" width="18.140625" style="24" customWidth="1"/>
    <col min="10" max="11" width="19" style="25" customWidth="1"/>
    <col min="12" max="12" width="9.140625" style="18"/>
    <col min="13" max="13" width="12.140625" style="18" bestFit="1" customWidth="1"/>
    <col min="14" max="14" width="24" style="18" customWidth="1"/>
    <col min="15" max="16384" width="9.140625" style="18"/>
  </cols>
  <sheetData>
    <row r="1" spans="1:13" ht="18.75">
      <c r="A1" s="107" t="s">
        <v>729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73"/>
      <c r="M1" s="73"/>
    </row>
    <row r="2" spans="1:13" ht="45">
      <c r="A2" s="97" t="s">
        <v>3</v>
      </c>
      <c r="B2" s="98"/>
      <c r="C2" s="14" t="s">
        <v>0</v>
      </c>
      <c r="D2" s="81" t="s">
        <v>513</v>
      </c>
      <c r="E2" s="71" t="s">
        <v>514</v>
      </c>
      <c r="F2" s="15" t="s">
        <v>50</v>
      </c>
      <c r="G2" s="16" t="s">
        <v>51</v>
      </c>
      <c r="H2" s="17" t="s">
        <v>52</v>
      </c>
      <c r="I2" s="82" t="s">
        <v>53</v>
      </c>
      <c r="J2" s="82" t="s">
        <v>515</v>
      </c>
      <c r="K2" s="71" t="s">
        <v>516</v>
      </c>
      <c r="L2" s="55"/>
      <c r="M2" s="55"/>
    </row>
    <row r="3" spans="1:13" s="21" customFormat="1">
      <c r="A3" s="46" t="s">
        <v>918</v>
      </c>
      <c r="B3" s="4" t="s">
        <v>805</v>
      </c>
      <c r="C3" s="4"/>
      <c r="D3" s="39"/>
      <c r="E3" s="39"/>
      <c r="F3" s="19"/>
      <c r="G3" s="19"/>
      <c r="H3" s="19"/>
      <c r="I3" s="20"/>
      <c r="J3" s="70"/>
      <c r="K3" s="57"/>
    </row>
    <row r="4" spans="1:13" s="21" customFormat="1" ht="30">
      <c r="A4" s="58" t="s">
        <v>919</v>
      </c>
      <c r="B4" s="11" t="s">
        <v>837</v>
      </c>
      <c r="C4" s="12" t="s">
        <v>4</v>
      </c>
      <c r="D4" s="13">
        <v>30</v>
      </c>
      <c r="E4" s="13">
        <v>20</v>
      </c>
      <c r="F4" s="27">
        <v>116.59</v>
      </c>
      <c r="G4" s="27">
        <f>147.43+50</f>
        <v>197.43</v>
      </c>
      <c r="H4" s="27"/>
      <c r="I4" s="146">
        <f t="shared" ref="I4:I20" si="0">ROUND(AVERAGE(F4,G4,H4),2)</f>
        <v>157.01</v>
      </c>
      <c r="J4" s="146">
        <f t="shared" ref="J4:J20" si="1">I4*D4</f>
        <v>4710.2999999999993</v>
      </c>
      <c r="K4" s="146">
        <f t="shared" ref="K4:K20" si="2">I4*E4</f>
        <v>3140.2</v>
      </c>
    </row>
    <row r="5" spans="1:13" s="21" customFormat="1" ht="45">
      <c r="A5" s="58" t="s">
        <v>920</v>
      </c>
      <c r="B5" s="11" t="s">
        <v>791</v>
      </c>
      <c r="C5" s="12" t="s">
        <v>790</v>
      </c>
      <c r="D5" s="13">
        <v>50</v>
      </c>
      <c r="E5" s="13">
        <v>80</v>
      </c>
      <c r="F5" s="27">
        <v>47.9</v>
      </c>
      <c r="G5" s="27"/>
      <c r="H5" s="27"/>
      <c r="I5" s="146">
        <f t="shared" si="0"/>
        <v>47.9</v>
      </c>
      <c r="J5" s="146">
        <f t="shared" si="1"/>
        <v>2395</v>
      </c>
      <c r="K5" s="146">
        <f t="shared" si="2"/>
        <v>3832</v>
      </c>
    </row>
    <row r="6" spans="1:13" s="21" customFormat="1">
      <c r="A6" s="58" t="s">
        <v>921</v>
      </c>
      <c r="B6" s="11" t="s">
        <v>789</v>
      </c>
      <c r="C6" s="12" t="s">
        <v>790</v>
      </c>
      <c r="D6" s="13">
        <v>50</v>
      </c>
      <c r="E6" s="13">
        <v>50</v>
      </c>
      <c r="F6" s="27">
        <v>16.899999999999999</v>
      </c>
      <c r="G6" s="27">
        <v>21.9</v>
      </c>
      <c r="H6" s="27">
        <v>27.14</v>
      </c>
      <c r="I6" s="146">
        <f t="shared" si="0"/>
        <v>21.98</v>
      </c>
      <c r="J6" s="146">
        <f t="shared" si="1"/>
        <v>1099</v>
      </c>
      <c r="K6" s="146">
        <f t="shared" si="2"/>
        <v>1099</v>
      </c>
    </row>
    <row r="7" spans="1:13" s="21" customFormat="1" ht="30">
      <c r="A7" s="58" t="s">
        <v>922</v>
      </c>
      <c r="B7" s="11" t="s">
        <v>696</v>
      </c>
      <c r="C7" s="12" t="s">
        <v>211</v>
      </c>
      <c r="D7" s="13">
        <v>5</v>
      </c>
      <c r="E7" s="13">
        <v>5</v>
      </c>
      <c r="F7" s="27">
        <v>2.93</v>
      </c>
      <c r="G7" s="27"/>
      <c r="H7" s="27"/>
      <c r="I7" s="146">
        <f t="shared" si="0"/>
        <v>2.93</v>
      </c>
      <c r="J7" s="146">
        <f t="shared" si="1"/>
        <v>14.65</v>
      </c>
      <c r="K7" s="146">
        <f t="shared" si="2"/>
        <v>14.65</v>
      </c>
    </row>
    <row r="8" spans="1:13" s="21" customFormat="1" ht="30">
      <c r="A8" s="58" t="s">
        <v>923</v>
      </c>
      <c r="B8" s="11" t="s">
        <v>695</v>
      </c>
      <c r="C8" s="12" t="s">
        <v>211</v>
      </c>
      <c r="D8" s="13">
        <v>5</v>
      </c>
      <c r="E8" s="13">
        <v>5</v>
      </c>
      <c r="F8" s="27">
        <v>1.96</v>
      </c>
      <c r="G8" s="27"/>
      <c r="H8" s="27"/>
      <c r="I8" s="146">
        <f t="shared" si="0"/>
        <v>1.96</v>
      </c>
      <c r="J8" s="146">
        <f t="shared" si="1"/>
        <v>9.8000000000000007</v>
      </c>
      <c r="K8" s="146">
        <f t="shared" si="2"/>
        <v>9.8000000000000007</v>
      </c>
    </row>
    <row r="9" spans="1:13" s="21" customFormat="1" ht="30">
      <c r="A9" s="58" t="s">
        <v>924</v>
      </c>
      <c r="B9" s="11" t="s">
        <v>644</v>
      </c>
      <c r="C9" s="12" t="s">
        <v>632</v>
      </c>
      <c r="D9" s="13">
        <v>30</v>
      </c>
      <c r="E9" s="13">
        <v>30</v>
      </c>
      <c r="F9" s="27">
        <v>23.9</v>
      </c>
      <c r="G9" s="27">
        <v>32.9</v>
      </c>
      <c r="H9" s="27">
        <f>21.99+25.9</f>
        <v>47.89</v>
      </c>
      <c r="I9" s="146">
        <f t="shared" si="0"/>
        <v>34.9</v>
      </c>
      <c r="J9" s="146">
        <f t="shared" si="1"/>
        <v>1047</v>
      </c>
      <c r="K9" s="146">
        <f t="shared" si="2"/>
        <v>1047</v>
      </c>
    </row>
    <row r="10" spans="1:13" s="21" customFormat="1">
      <c r="A10" s="58" t="s">
        <v>925</v>
      </c>
      <c r="B10" s="11" t="s">
        <v>494</v>
      </c>
      <c r="C10" s="12" t="s">
        <v>66</v>
      </c>
      <c r="D10" s="13">
        <v>100</v>
      </c>
      <c r="E10" s="13">
        <v>120</v>
      </c>
      <c r="F10" s="27">
        <v>2.09</v>
      </c>
      <c r="G10" s="27">
        <v>3.13</v>
      </c>
      <c r="H10" s="27">
        <v>3</v>
      </c>
      <c r="I10" s="146">
        <f t="shared" si="0"/>
        <v>2.74</v>
      </c>
      <c r="J10" s="146">
        <f t="shared" si="1"/>
        <v>274</v>
      </c>
      <c r="K10" s="146">
        <f t="shared" si="2"/>
        <v>328.8</v>
      </c>
    </row>
    <row r="11" spans="1:13" s="21" customFormat="1" ht="30">
      <c r="A11" s="58" t="s">
        <v>926</v>
      </c>
      <c r="B11" s="11" t="s">
        <v>694</v>
      </c>
      <c r="C11" s="12" t="s">
        <v>4</v>
      </c>
      <c r="D11" s="13">
        <v>5</v>
      </c>
      <c r="E11" s="13">
        <v>5</v>
      </c>
      <c r="F11" s="27">
        <v>11.16</v>
      </c>
      <c r="G11" s="27"/>
      <c r="H11" s="27"/>
      <c r="I11" s="146">
        <f t="shared" si="0"/>
        <v>11.16</v>
      </c>
      <c r="J11" s="146">
        <f t="shared" si="1"/>
        <v>55.8</v>
      </c>
      <c r="K11" s="146">
        <f t="shared" si="2"/>
        <v>55.8</v>
      </c>
    </row>
    <row r="12" spans="1:13" s="21" customFormat="1" ht="30">
      <c r="A12" s="58" t="s">
        <v>927</v>
      </c>
      <c r="B12" s="11" t="s">
        <v>647</v>
      </c>
      <c r="C12" s="12" t="s">
        <v>66</v>
      </c>
      <c r="D12" s="13">
        <v>30</v>
      </c>
      <c r="E12" s="13">
        <v>30</v>
      </c>
      <c r="F12" s="27">
        <v>55.04</v>
      </c>
      <c r="G12" s="27">
        <v>52.98</v>
      </c>
      <c r="H12" s="27"/>
      <c r="I12" s="146">
        <f t="shared" si="0"/>
        <v>54.01</v>
      </c>
      <c r="J12" s="146">
        <f t="shared" si="1"/>
        <v>1620.3</v>
      </c>
      <c r="K12" s="146">
        <f t="shared" si="2"/>
        <v>1620.3</v>
      </c>
    </row>
    <row r="13" spans="1:13" s="21" customFormat="1" ht="30">
      <c r="A13" s="58" t="s">
        <v>928</v>
      </c>
      <c r="B13" s="11" t="s">
        <v>693</v>
      </c>
      <c r="C13" s="12" t="s">
        <v>4</v>
      </c>
      <c r="D13" s="13">
        <v>5</v>
      </c>
      <c r="E13" s="13">
        <v>5</v>
      </c>
      <c r="F13" s="27">
        <v>13.02</v>
      </c>
      <c r="G13" s="27"/>
      <c r="H13" s="27"/>
      <c r="I13" s="146">
        <f t="shared" si="0"/>
        <v>13.02</v>
      </c>
      <c r="J13" s="146">
        <f t="shared" si="1"/>
        <v>65.099999999999994</v>
      </c>
      <c r="K13" s="146">
        <f t="shared" si="2"/>
        <v>65.099999999999994</v>
      </c>
    </row>
    <row r="14" spans="1:13" s="21" customFormat="1" ht="30">
      <c r="A14" s="58" t="s">
        <v>929</v>
      </c>
      <c r="B14" s="11" t="s">
        <v>803</v>
      </c>
      <c r="C14" s="12" t="s">
        <v>790</v>
      </c>
      <c r="D14" s="13">
        <v>20</v>
      </c>
      <c r="E14" s="13">
        <v>20</v>
      </c>
      <c r="F14" s="27">
        <v>29.07</v>
      </c>
      <c r="G14" s="27"/>
      <c r="H14" s="27"/>
      <c r="I14" s="146">
        <f t="shared" si="0"/>
        <v>29.07</v>
      </c>
      <c r="J14" s="146">
        <f t="shared" si="1"/>
        <v>581.4</v>
      </c>
      <c r="K14" s="146">
        <f t="shared" si="2"/>
        <v>581.4</v>
      </c>
    </row>
    <row r="15" spans="1:13" s="21" customFormat="1" ht="30">
      <c r="A15" s="58" t="s">
        <v>930</v>
      </c>
      <c r="B15" s="11" t="s">
        <v>802</v>
      </c>
      <c r="C15" s="12" t="s">
        <v>790</v>
      </c>
      <c r="D15" s="13">
        <v>40</v>
      </c>
      <c r="E15" s="13">
        <v>40</v>
      </c>
      <c r="F15" s="27">
        <v>29.07</v>
      </c>
      <c r="G15" s="27">
        <f>14.9+3.14</f>
        <v>18.04</v>
      </c>
      <c r="H15" s="27"/>
      <c r="I15" s="146">
        <f t="shared" si="0"/>
        <v>23.56</v>
      </c>
      <c r="J15" s="146">
        <f t="shared" si="1"/>
        <v>942.4</v>
      </c>
      <c r="K15" s="146">
        <f t="shared" si="2"/>
        <v>942.4</v>
      </c>
    </row>
    <row r="16" spans="1:13" s="21" customFormat="1" ht="30">
      <c r="A16" s="58" t="s">
        <v>931</v>
      </c>
      <c r="B16" s="11" t="s">
        <v>801</v>
      </c>
      <c r="C16" s="12" t="s">
        <v>790</v>
      </c>
      <c r="D16" s="13">
        <v>20</v>
      </c>
      <c r="E16" s="13">
        <v>20</v>
      </c>
      <c r="F16" s="27">
        <v>29.07</v>
      </c>
      <c r="G16" s="27">
        <f>22.9+3.14</f>
        <v>26.04</v>
      </c>
      <c r="H16" s="27"/>
      <c r="I16" s="146">
        <f t="shared" si="0"/>
        <v>27.56</v>
      </c>
      <c r="J16" s="146">
        <f t="shared" si="1"/>
        <v>551.19999999999993</v>
      </c>
      <c r="K16" s="146">
        <f t="shared" si="2"/>
        <v>551.19999999999993</v>
      </c>
    </row>
    <row r="17" spans="1:11" s="21" customFormat="1" ht="30">
      <c r="A17" s="58" t="s">
        <v>932</v>
      </c>
      <c r="B17" s="75" t="s">
        <v>648</v>
      </c>
      <c r="C17" s="83" t="s">
        <v>4</v>
      </c>
      <c r="D17" s="84">
        <v>100</v>
      </c>
      <c r="E17" s="84">
        <v>100</v>
      </c>
      <c r="F17" s="85">
        <v>38</v>
      </c>
      <c r="G17" s="85"/>
      <c r="H17" s="85"/>
      <c r="I17" s="146">
        <f t="shared" si="0"/>
        <v>38</v>
      </c>
      <c r="J17" s="146">
        <f t="shared" si="1"/>
        <v>3800</v>
      </c>
      <c r="K17" s="146">
        <f t="shared" si="2"/>
        <v>3800</v>
      </c>
    </row>
    <row r="18" spans="1:11" s="21" customFormat="1" ht="30">
      <c r="A18" s="58" t="s">
        <v>933</v>
      </c>
      <c r="B18" s="75" t="s">
        <v>646</v>
      </c>
      <c r="C18" s="83" t="s">
        <v>323</v>
      </c>
      <c r="D18" s="84">
        <v>60</v>
      </c>
      <c r="E18" s="84">
        <v>60</v>
      </c>
      <c r="F18" s="85">
        <v>22.13</v>
      </c>
      <c r="G18" s="85">
        <f>36.5/(1.2*2.4)</f>
        <v>12.673611111111111</v>
      </c>
      <c r="H18" s="85"/>
      <c r="I18" s="146">
        <f t="shared" si="0"/>
        <v>17.399999999999999</v>
      </c>
      <c r="J18" s="146">
        <f t="shared" si="1"/>
        <v>1044</v>
      </c>
      <c r="K18" s="146">
        <f t="shared" si="2"/>
        <v>1044</v>
      </c>
    </row>
    <row r="19" spans="1:11" s="21" customFormat="1">
      <c r="A19" s="58" t="s">
        <v>934</v>
      </c>
      <c r="B19" s="75" t="s">
        <v>645</v>
      </c>
      <c r="C19" s="83" t="s">
        <v>323</v>
      </c>
      <c r="D19" s="84">
        <f>0.6*0.6*40</f>
        <v>14.399999999999999</v>
      </c>
      <c r="E19" s="84">
        <f>0.6*0.6*40</f>
        <v>14.399999999999999</v>
      </c>
      <c r="F19" s="85">
        <v>26.11</v>
      </c>
      <c r="G19" s="85"/>
      <c r="H19" s="85"/>
      <c r="I19" s="146">
        <f t="shared" si="0"/>
        <v>26.11</v>
      </c>
      <c r="J19" s="146">
        <f t="shared" si="1"/>
        <v>375.98399999999998</v>
      </c>
      <c r="K19" s="146">
        <f t="shared" si="2"/>
        <v>375.98399999999998</v>
      </c>
    </row>
    <row r="20" spans="1:11" s="21" customFormat="1" ht="30">
      <c r="A20" s="58" t="s">
        <v>935</v>
      </c>
      <c r="B20" s="75" t="s">
        <v>697</v>
      </c>
      <c r="C20" s="83" t="s">
        <v>632</v>
      </c>
      <c r="D20" s="84">
        <v>20</v>
      </c>
      <c r="E20" s="84">
        <v>20</v>
      </c>
      <c r="F20" s="85">
        <v>15</v>
      </c>
      <c r="G20" s="85">
        <v>11.98</v>
      </c>
      <c r="H20" s="85"/>
      <c r="I20" s="146">
        <f t="shared" si="0"/>
        <v>13.49</v>
      </c>
      <c r="J20" s="146">
        <f t="shared" si="1"/>
        <v>269.8</v>
      </c>
      <c r="K20" s="146">
        <f t="shared" si="2"/>
        <v>269.8</v>
      </c>
    </row>
    <row r="21" spans="1:11" s="21" customFormat="1">
      <c r="A21" s="46" t="s">
        <v>936</v>
      </c>
      <c r="B21" s="4" t="s">
        <v>815</v>
      </c>
      <c r="C21" s="4"/>
      <c r="D21" s="39"/>
      <c r="E21" s="39"/>
      <c r="F21" s="19"/>
      <c r="G21" s="19"/>
      <c r="H21" s="19"/>
      <c r="I21" s="136"/>
      <c r="J21" s="153"/>
      <c r="K21" s="154"/>
    </row>
    <row r="22" spans="1:11" s="21" customFormat="1">
      <c r="A22" s="58" t="s">
        <v>340</v>
      </c>
      <c r="B22" s="75" t="s">
        <v>733</v>
      </c>
      <c r="C22" s="83" t="s">
        <v>4</v>
      </c>
      <c r="D22" s="84">
        <v>10</v>
      </c>
      <c r="E22" s="84">
        <v>10</v>
      </c>
      <c r="F22" s="85">
        <v>11.43</v>
      </c>
      <c r="G22" s="85">
        <v>17.899999999999999</v>
      </c>
      <c r="H22" s="85"/>
      <c r="I22" s="146">
        <f t="shared" ref="I22:I52" si="3">ROUND(AVERAGE(F22,G22,H22),2)</f>
        <v>14.67</v>
      </c>
      <c r="J22" s="146">
        <f t="shared" ref="J22:J52" si="4">I22*D22</f>
        <v>146.69999999999999</v>
      </c>
      <c r="K22" s="146">
        <f t="shared" ref="K22:K52" si="5">I22*E22</f>
        <v>146.69999999999999</v>
      </c>
    </row>
    <row r="23" spans="1:11" s="21" customFormat="1" ht="30">
      <c r="A23" s="58" t="s">
        <v>568</v>
      </c>
      <c r="B23" s="75" t="s">
        <v>734</v>
      </c>
      <c r="C23" s="83" t="s">
        <v>4</v>
      </c>
      <c r="D23" s="84">
        <v>1</v>
      </c>
      <c r="E23" s="84">
        <v>0</v>
      </c>
      <c r="F23" s="85">
        <f>417.9+23.82</f>
        <v>441.71999999999997</v>
      </c>
      <c r="G23" s="85">
        <v>645.48</v>
      </c>
      <c r="H23" s="85"/>
      <c r="I23" s="146">
        <f t="shared" si="3"/>
        <v>543.6</v>
      </c>
      <c r="J23" s="146">
        <f t="shared" si="4"/>
        <v>543.6</v>
      </c>
      <c r="K23" s="146">
        <f t="shared" si="5"/>
        <v>0</v>
      </c>
    </row>
    <row r="24" spans="1:11" s="21" customFormat="1" ht="30">
      <c r="A24" s="58" t="s">
        <v>569</v>
      </c>
      <c r="B24" s="75" t="s">
        <v>736</v>
      </c>
      <c r="C24" s="83" t="s">
        <v>4</v>
      </c>
      <c r="D24" s="84">
        <v>3</v>
      </c>
      <c r="E24" s="84">
        <v>2</v>
      </c>
      <c r="F24" s="85">
        <v>32.770000000000003</v>
      </c>
      <c r="G24" s="85"/>
      <c r="H24" s="85"/>
      <c r="I24" s="146">
        <f t="shared" si="3"/>
        <v>32.770000000000003</v>
      </c>
      <c r="J24" s="146">
        <f t="shared" si="4"/>
        <v>98.31</v>
      </c>
      <c r="K24" s="146">
        <f t="shared" si="5"/>
        <v>65.540000000000006</v>
      </c>
    </row>
    <row r="25" spans="1:11" s="21" customFormat="1" ht="30">
      <c r="A25" s="58" t="s">
        <v>570</v>
      </c>
      <c r="B25" s="75" t="s">
        <v>735</v>
      </c>
      <c r="C25" s="83" t="s">
        <v>4</v>
      </c>
      <c r="D25" s="84">
        <v>3</v>
      </c>
      <c r="E25" s="84">
        <v>2</v>
      </c>
      <c r="F25" s="85">
        <v>59.05</v>
      </c>
      <c r="G25" s="85"/>
      <c r="H25" s="85"/>
      <c r="I25" s="146">
        <f t="shared" si="3"/>
        <v>59.05</v>
      </c>
      <c r="J25" s="146">
        <f t="shared" si="4"/>
        <v>177.14999999999998</v>
      </c>
      <c r="K25" s="146">
        <f t="shared" si="5"/>
        <v>118.1</v>
      </c>
    </row>
    <row r="26" spans="1:11" s="21" customFormat="1" ht="30">
      <c r="A26" s="58" t="s">
        <v>630</v>
      </c>
      <c r="B26" s="75" t="s">
        <v>737</v>
      </c>
      <c r="C26" s="83" t="s">
        <v>4</v>
      </c>
      <c r="D26" s="84">
        <v>6</v>
      </c>
      <c r="E26" s="84">
        <v>6</v>
      </c>
      <c r="F26" s="85">
        <v>9.99</v>
      </c>
      <c r="G26" s="85">
        <v>8.2200000000000006</v>
      </c>
      <c r="H26" s="85">
        <v>9.9</v>
      </c>
      <c r="I26" s="146">
        <f t="shared" si="3"/>
        <v>9.3699999999999992</v>
      </c>
      <c r="J26" s="146">
        <f t="shared" si="4"/>
        <v>56.22</v>
      </c>
      <c r="K26" s="146">
        <f t="shared" si="5"/>
        <v>56.22</v>
      </c>
    </row>
    <row r="27" spans="1:11" s="21" customFormat="1" ht="30">
      <c r="A27" s="58" t="s">
        <v>631</v>
      </c>
      <c r="B27" s="75" t="s">
        <v>739</v>
      </c>
      <c r="C27" s="83" t="s">
        <v>4</v>
      </c>
      <c r="D27" s="84">
        <v>6</v>
      </c>
      <c r="E27" s="84">
        <v>6</v>
      </c>
      <c r="F27" s="85">
        <v>9.8800000000000008</v>
      </c>
      <c r="G27" s="85">
        <v>11.9</v>
      </c>
      <c r="H27" s="85"/>
      <c r="I27" s="146">
        <f t="shared" si="3"/>
        <v>10.89</v>
      </c>
      <c r="J27" s="146">
        <f t="shared" si="4"/>
        <v>65.34</v>
      </c>
      <c r="K27" s="146">
        <f t="shared" si="5"/>
        <v>65.34</v>
      </c>
    </row>
    <row r="28" spans="1:11" s="21" customFormat="1" ht="30">
      <c r="A28" s="58" t="s">
        <v>635</v>
      </c>
      <c r="B28" s="75" t="s">
        <v>738</v>
      </c>
      <c r="C28" s="83" t="s">
        <v>4</v>
      </c>
      <c r="D28" s="84">
        <v>6</v>
      </c>
      <c r="E28" s="84">
        <v>6</v>
      </c>
      <c r="F28" s="85">
        <v>15.8</v>
      </c>
      <c r="G28" s="85">
        <v>14.3</v>
      </c>
      <c r="H28" s="85">
        <v>17.489999999999998</v>
      </c>
      <c r="I28" s="146">
        <f t="shared" si="3"/>
        <v>15.86</v>
      </c>
      <c r="J28" s="146">
        <f t="shared" si="4"/>
        <v>95.16</v>
      </c>
      <c r="K28" s="146">
        <f t="shared" si="5"/>
        <v>95.16</v>
      </c>
    </row>
    <row r="29" spans="1:11" s="21" customFormat="1">
      <c r="A29" s="58" t="s">
        <v>636</v>
      </c>
      <c r="B29" s="75" t="s">
        <v>732</v>
      </c>
      <c r="C29" s="83" t="s">
        <v>4</v>
      </c>
      <c r="D29" s="84">
        <v>2</v>
      </c>
      <c r="E29" s="84">
        <v>2</v>
      </c>
      <c r="F29" s="85">
        <v>9.1</v>
      </c>
      <c r="G29" s="85">
        <v>14.03</v>
      </c>
      <c r="H29" s="85"/>
      <c r="I29" s="146">
        <f t="shared" si="3"/>
        <v>11.57</v>
      </c>
      <c r="J29" s="146">
        <f t="shared" si="4"/>
        <v>23.14</v>
      </c>
      <c r="K29" s="146">
        <f t="shared" si="5"/>
        <v>23.14</v>
      </c>
    </row>
    <row r="30" spans="1:11" s="21" customFormat="1">
      <c r="A30" s="58" t="s">
        <v>640</v>
      </c>
      <c r="B30" s="75" t="s">
        <v>740</v>
      </c>
      <c r="C30" s="83" t="s">
        <v>4</v>
      </c>
      <c r="D30" s="84">
        <v>100</v>
      </c>
      <c r="E30" s="84">
        <v>100</v>
      </c>
      <c r="F30" s="85">
        <v>4.63</v>
      </c>
      <c r="G30" s="85">
        <v>6.9</v>
      </c>
      <c r="H30" s="85">
        <v>4.5</v>
      </c>
      <c r="I30" s="146">
        <f t="shared" si="3"/>
        <v>5.34</v>
      </c>
      <c r="J30" s="146">
        <f t="shared" si="4"/>
        <v>534</v>
      </c>
      <c r="K30" s="146">
        <f t="shared" si="5"/>
        <v>534</v>
      </c>
    </row>
    <row r="31" spans="1:11" s="21" customFormat="1">
      <c r="A31" s="58" t="s">
        <v>643</v>
      </c>
      <c r="B31" s="75" t="s">
        <v>741</v>
      </c>
      <c r="C31" s="83" t="s">
        <v>632</v>
      </c>
      <c r="D31" s="84">
        <v>100</v>
      </c>
      <c r="E31" s="84">
        <v>100</v>
      </c>
      <c r="F31" s="85">
        <v>18.899999999999999</v>
      </c>
      <c r="G31" s="85">
        <v>26.9</v>
      </c>
      <c r="H31" s="85">
        <v>26.9</v>
      </c>
      <c r="I31" s="146">
        <f t="shared" si="3"/>
        <v>24.23</v>
      </c>
      <c r="J31" s="146">
        <f t="shared" si="4"/>
        <v>2423</v>
      </c>
      <c r="K31" s="146">
        <f t="shared" si="5"/>
        <v>2423</v>
      </c>
    </row>
    <row r="32" spans="1:11" s="21" customFormat="1">
      <c r="A32" s="58" t="s">
        <v>661</v>
      </c>
      <c r="B32" s="75" t="s">
        <v>742</v>
      </c>
      <c r="C32" s="83" t="s">
        <v>632</v>
      </c>
      <c r="D32" s="84">
        <v>100</v>
      </c>
      <c r="E32" s="84">
        <v>100</v>
      </c>
      <c r="F32" s="85">
        <v>10.98</v>
      </c>
      <c r="G32" s="85">
        <v>10.98</v>
      </c>
      <c r="H32" s="85">
        <v>13.99</v>
      </c>
      <c r="I32" s="146">
        <f t="shared" si="3"/>
        <v>11.98</v>
      </c>
      <c r="J32" s="146">
        <f t="shared" si="4"/>
        <v>1198</v>
      </c>
      <c r="K32" s="146">
        <f t="shared" si="5"/>
        <v>1198</v>
      </c>
    </row>
    <row r="33" spans="1:11" s="21" customFormat="1" ht="30">
      <c r="A33" s="58" t="s">
        <v>662</v>
      </c>
      <c r="B33" s="75" t="s">
        <v>743</v>
      </c>
      <c r="C33" s="83" t="s">
        <v>77</v>
      </c>
      <c r="D33" s="84">
        <v>4</v>
      </c>
      <c r="E33" s="84">
        <v>4</v>
      </c>
      <c r="F33" s="85">
        <f>2*23.9</f>
        <v>47.8</v>
      </c>
      <c r="G33" s="85"/>
      <c r="H33" s="85"/>
      <c r="I33" s="146">
        <f t="shared" si="3"/>
        <v>47.8</v>
      </c>
      <c r="J33" s="146">
        <f t="shared" si="4"/>
        <v>191.2</v>
      </c>
      <c r="K33" s="146">
        <f t="shared" si="5"/>
        <v>191.2</v>
      </c>
    </row>
    <row r="34" spans="1:11" s="21" customFormat="1" ht="30">
      <c r="A34" s="58" t="s">
        <v>663</v>
      </c>
      <c r="B34" s="75" t="s">
        <v>745</v>
      </c>
      <c r="C34" s="83" t="s">
        <v>77</v>
      </c>
      <c r="D34" s="84">
        <v>4</v>
      </c>
      <c r="E34" s="84">
        <v>4</v>
      </c>
      <c r="F34" s="85">
        <f>2*23.9</f>
        <v>47.8</v>
      </c>
      <c r="G34" s="85">
        <f>2*23.9</f>
        <v>47.8</v>
      </c>
      <c r="H34" s="85"/>
      <c r="I34" s="146">
        <f t="shared" si="3"/>
        <v>47.8</v>
      </c>
      <c r="J34" s="146">
        <f t="shared" si="4"/>
        <v>191.2</v>
      </c>
      <c r="K34" s="146">
        <f t="shared" si="5"/>
        <v>191.2</v>
      </c>
    </row>
    <row r="35" spans="1:11" s="21" customFormat="1" ht="30">
      <c r="A35" s="58" t="s">
        <v>664</v>
      </c>
      <c r="B35" s="75" t="s">
        <v>744</v>
      </c>
      <c r="C35" s="83" t="s">
        <v>77</v>
      </c>
      <c r="D35" s="84">
        <v>4</v>
      </c>
      <c r="E35" s="84">
        <v>4</v>
      </c>
      <c r="F35" s="85">
        <f>2*33.9</f>
        <v>67.8</v>
      </c>
      <c r="G35" s="85">
        <f>2*32.29</f>
        <v>64.58</v>
      </c>
      <c r="H35" s="85"/>
      <c r="I35" s="146">
        <f t="shared" si="3"/>
        <v>66.19</v>
      </c>
      <c r="J35" s="146">
        <f t="shared" si="4"/>
        <v>264.76</v>
      </c>
      <c r="K35" s="146">
        <f t="shared" si="5"/>
        <v>264.76</v>
      </c>
    </row>
    <row r="36" spans="1:11" s="21" customFormat="1" ht="30">
      <c r="A36" s="58" t="s">
        <v>665</v>
      </c>
      <c r="B36" s="75" t="s">
        <v>761</v>
      </c>
      <c r="C36" s="83" t="s">
        <v>4</v>
      </c>
      <c r="D36" s="84">
        <v>3</v>
      </c>
      <c r="E36" s="84">
        <v>3</v>
      </c>
      <c r="F36" s="85">
        <v>73</v>
      </c>
      <c r="G36" s="85"/>
      <c r="H36" s="85"/>
      <c r="I36" s="146">
        <f t="shared" si="3"/>
        <v>73</v>
      </c>
      <c r="J36" s="146">
        <f t="shared" si="4"/>
        <v>219</v>
      </c>
      <c r="K36" s="146">
        <f t="shared" si="5"/>
        <v>219</v>
      </c>
    </row>
    <row r="37" spans="1:11" s="21" customFormat="1">
      <c r="A37" s="58" t="s">
        <v>666</v>
      </c>
      <c r="B37" s="75" t="s">
        <v>750</v>
      </c>
      <c r="C37" s="83" t="s">
        <v>4</v>
      </c>
      <c r="D37" s="84">
        <v>3</v>
      </c>
      <c r="E37" s="84">
        <v>3</v>
      </c>
      <c r="F37" s="85">
        <v>38.5</v>
      </c>
      <c r="G37" s="85">
        <v>33.51</v>
      </c>
      <c r="H37" s="85">
        <v>44.35</v>
      </c>
      <c r="I37" s="146">
        <f t="shared" si="3"/>
        <v>38.79</v>
      </c>
      <c r="J37" s="146">
        <f t="shared" si="4"/>
        <v>116.37</v>
      </c>
      <c r="K37" s="146">
        <f t="shared" si="5"/>
        <v>116.37</v>
      </c>
    </row>
    <row r="38" spans="1:11" s="21" customFormat="1" ht="30">
      <c r="A38" s="58" t="s">
        <v>667</v>
      </c>
      <c r="B38" s="75" t="s">
        <v>749</v>
      </c>
      <c r="C38" s="83" t="s">
        <v>4</v>
      </c>
      <c r="D38" s="84">
        <v>1</v>
      </c>
      <c r="E38" s="84">
        <v>1</v>
      </c>
      <c r="F38" s="85">
        <v>32.39</v>
      </c>
      <c r="G38" s="85">
        <v>39.75</v>
      </c>
      <c r="H38" s="85">
        <v>49.9</v>
      </c>
      <c r="I38" s="146">
        <f t="shared" si="3"/>
        <v>40.68</v>
      </c>
      <c r="J38" s="146">
        <f t="shared" si="4"/>
        <v>40.68</v>
      </c>
      <c r="K38" s="146">
        <f t="shared" si="5"/>
        <v>40.68</v>
      </c>
    </row>
    <row r="39" spans="1:11" s="21" customFormat="1">
      <c r="A39" s="58" t="s">
        <v>668</v>
      </c>
      <c r="B39" s="75" t="s">
        <v>752</v>
      </c>
      <c r="C39" s="83" t="s">
        <v>632</v>
      </c>
      <c r="D39" s="84">
        <v>5</v>
      </c>
      <c r="E39" s="84">
        <v>5</v>
      </c>
      <c r="F39" s="85">
        <v>9.9</v>
      </c>
      <c r="G39" s="85"/>
      <c r="H39" s="85"/>
      <c r="I39" s="146">
        <f t="shared" si="3"/>
        <v>9.9</v>
      </c>
      <c r="J39" s="146">
        <f t="shared" si="4"/>
        <v>49.5</v>
      </c>
      <c r="K39" s="146">
        <f t="shared" si="5"/>
        <v>49.5</v>
      </c>
    </row>
    <row r="40" spans="1:11" s="21" customFormat="1">
      <c r="A40" s="58" t="s">
        <v>669</v>
      </c>
      <c r="B40" s="75" t="s">
        <v>746</v>
      </c>
      <c r="C40" s="83" t="s">
        <v>4</v>
      </c>
      <c r="D40" s="84">
        <v>25</v>
      </c>
      <c r="E40" s="84">
        <v>25</v>
      </c>
      <c r="F40" s="85">
        <v>29</v>
      </c>
      <c r="G40" s="85"/>
      <c r="H40" s="85"/>
      <c r="I40" s="146">
        <f t="shared" si="3"/>
        <v>29</v>
      </c>
      <c r="J40" s="146">
        <f t="shared" si="4"/>
        <v>725</v>
      </c>
      <c r="K40" s="146">
        <f t="shared" si="5"/>
        <v>725</v>
      </c>
    </row>
    <row r="41" spans="1:11" s="21" customFormat="1">
      <c r="A41" s="58" t="s">
        <v>670</v>
      </c>
      <c r="B41" s="75" t="s">
        <v>747</v>
      </c>
      <c r="C41" s="83" t="s">
        <v>4</v>
      </c>
      <c r="D41" s="84">
        <v>25</v>
      </c>
      <c r="E41" s="84">
        <v>25</v>
      </c>
      <c r="F41" s="85">
        <v>56.9</v>
      </c>
      <c r="G41" s="85">
        <v>75.900000000000006</v>
      </c>
      <c r="H41" s="85"/>
      <c r="I41" s="146">
        <f t="shared" si="3"/>
        <v>66.400000000000006</v>
      </c>
      <c r="J41" s="146">
        <f t="shared" si="4"/>
        <v>1660.0000000000002</v>
      </c>
      <c r="K41" s="146">
        <f t="shared" si="5"/>
        <v>1660.0000000000002</v>
      </c>
    </row>
    <row r="42" spans="1:11" s="21" customFormat="1">
      <c r="A42" s="58" t="s">
        <v>671</v>
      </c>
      <c r="B42" s="75" t="s">
        <v>748</v>
      </c>
      <c r="C42" s="83" t="s">
        <v>4</v>
      </c>
      <c r="D42" s="84">
        <v>30</v>
      </c>
      <c r="E42" s="84">
        <v>30</v>
      </c>
      <c r="F42" s="85">
        <v>15</v>
      </c>
      <c r="G42" s="85">
        <v>16.989999999999998</v>
      </c>
      <c r="H42" s="85"/>
      <c r="I42" s="146">
        <f t="shared" si="3"/>
        <v>16</v>
      </c>
      <c r="J42" s="146">
        <f t="shared" si="4"/>
        <v>480</v>
      </c>
      <c r="K42" s="146">
        <f t="shared" si="5"/>
        <v>480</v>
      </c>
    </row>
    <row r="43" spans="1:11" s="21" customFormat="1" ht="30">
      <c r="A43" s="58" t="s">
        <v>771</v>
      </c>
      <c r="B43" s="75" t="s">
        <v>754</v>
      </c>
      <c r="C43" s="83" t="s">
        <v>632</v>
      </c>
      <c r="D43" s="84">
        <v>30</v>
      </c>
      <c r="E43" s="84">
        <v>30</v>
      </c>
      <c r="F43" s="85">
        <v>17.899999999999999</v>
      </c>
      <c r="G43" s="85">
        <v>17.350000000000001</v>
      </c>
      <c r="H43" s="85">
        <v>17.54</v>
      </c>
      <c r="I43" s="146">
        <f t="shared" si="3"/>
        <v>17.600000000000001</v>
      </c>
      <c r="J43" s="146">
        <f t="shared" si="4"/>
        <v>528</v>
      </c>
      <c r="K43" s="146">
        <f t="shared" si="5"/>
        <v>528</v>
      </c>
    </row>
    <row r="44" spans="1:11" s="21" customFormat="1" ht="30">
      <c r="A44" s="58" t="s">
        <v>772</v>
      </c>
      <c r="B44" s="75" t="s">
        <v>755</v>
      </c>
      <c r="C44" s="83" t="s">
        <v>632</v>
      </c>
      <c r="D44" s="84">
        <v>30</v>
      </c>
      <c r="E44" s="84">
        <v>30</v>
      </c>
      <c r="F44" s="85">
        <v>19.899999999999999</v>
      </c>
      <c r="G44" s="85">
        <v>23.9</v>
      </c>
      <c r="H44" s="85"/>
      <c r="I44" s="146">
        <f t="shared" si="3"/>
        <v>21.9</v>
      </c>
      <c r="J44" s="146">
        <f t="shared" si="4"/>
        <v>657</v>
      </c>
      <c r="K44" s="146">
        <f t="shared" si="5"/>
        <v>657</v>
      </c>
    </row>
    <row r="45" spans="1:11" s="21" customFormat="1">
      <c r="A45" s="58" t="s">
        <v>840</v>
      </c>
      <c r="B45" s="75" t="s">
        <v>753</v>
      </c>
      <c r="C45" s="83" t="s">
        <v>632</v>
      </c>
      <c r="D45" s="84">
        <v>30</v>
      </c>
      <c r="E45" s="84">
        <v>30</v>
      </c>
      <c r="F45" s="92">
        <v>10.99</v>
      </c>
      <c r="G45" s="92">
        <v>13</v>
      </c>
      <c r="H45" s="92">
        <v>15.9</v>
      </c>
      <c r="I45" s="146">
        <f t="shared" si="3"/>
        <v>13.3</v>
      </c>
      <c r="J45" s="146">
        <f t="shared" si="4"/>
        <v>399</v>
      </c>
      <c r="K45" s="146">
        <f t="shared" si="5"/>
        <v>399</v>
      </c>
    </row>
    <row r="46" spans="1:11" s="21" customFormat="1">
      <c r="A46" s="58" t="s">
        <v>937</v>
      </c>
      <c r="B46" s="75" t="s">
        <v>751</v>
      </c>
      <c r="C46" s="83" t="s">
        <v>632</v>
      </c>
      <c r="D46" s="84">
        <v>2</v>
      </c>
      <c r="E46" s="84">
        <v>2</v>
      </c>
      <c r="F46" s="92">
        <v>166.56</v>
      </c>
      <c r="G46" s="92">
        <v>139.51</v>
      </c>
      <c r="H46" s="92"/>
      <c r="I46" s="146">
        <f t="shared" si="3"/>
        <v>153.04</v>
      </c>
      <c r="J46" s="146">
        <f t="shared" si="4"/>
        <v>306.08</v>
      </c>
      <c r="K46" s="146">
        <f t="shared" si="5"/>
        <v>306.08</v>
      </c>
    </row>
    <row r="47" spans="1:11" s="21" customFormat="1" ht="45">
      <c r="A47" s="58" t="s">
        <v>938</v>
      </c>
      <c r="B47" s="75" t="s">
        <v>965</v>
      </c>
      <c r="C47" s="83" t="s">
        <v>4</v>
      </c>
      <c r="D47" s="84">
        <v>20</v>
      </c>
      <c r="E47" s="84">
        <v>20</v>
      </c>
      <c r="F47" s="93">
        <f>382.33+50.43</f>
        <v>432.76</v>
      </c>
      <c r="G47" s="93">
        <f>517.9+60.24</f>
        <v>578.14</v>
      </c>
      <c r="H47" s="93">
        <v>517.9</v>
      </c>
      <c r="I47" s="146">
        <f t="shared" si="3"/>
        <v>509.6</v>
      </c>
      <c r="J47" s="146">
        <f t="shared" si="4"/>
        <v>10192</v>
      </c>
      <c r="K47" s="146">
        <f t="shared" si="5"/>
        <v>10192</v>
      </c>
    </row>
    <row r="48" spans="1:11" s="21" customFormat="1" ht="30">
      <c r="A48" s="58" t="s">
        <v>939</v>
      </c>
      <c r="B48" s="75" t="s">
        <v>966</v>
      </c>
      <c r="C48" s="83" t="s">
        <v>4</v>
      </c>
      <c r="D48" s="84">
        <v>20</v>
      </c>
      <c r="E48" s="84">
        <v>20</v>
      </c>
      <c r="F48" s="93">
        <v>989</v>
      </c>
      <c r="G48" s="93"/>
      <c r="H48" s="93"/>
      <c r="I48" s="146">
        <f t="shared" si="3"/>
        <v>989</v>
      </c>
      <c r="J48" s="146">
        <f t="shared" si="4"/>
        <v>19780</v>
      </c>
      <c r="K48" s="146">
        <f t="shared" si="5"/>
        <v>19780</v>
      </c>
    </row>
    <row r="49" spans="1:11" s="21" customFormat="1" ht="30">
      <c r="A49" s="58" t="s">
        <v>940</v>
      </c>
      <c r="B49" s="75" t="s">
        <v>758</v>
      </c>
      <c r="C49" s="83" t="s">
        <v>4</v>
      </c>
      <c r="D49" s="84">
        <v>20</v>
      </c>
      <c r="E49" s="84">
        <v>20</v>
      </c>
      <c r="F49" s="92">
        <v>7.9</v>
      </c>
      <c r="G49" s="92"/>
      <c r="H49" s="92"/>
      <c r="I49" s="146">
        <f t="shared" si="3"/>
        <v>7.9</v>
      </c>
      <c r="J49" s="146">
        <f t="shared" si="4"/>
        <v>158</v>
      </c>
      <c r="K49" s="146">
        <f t="shared" si="5"/>
        <v>158</v>
      </c>
    </row>
    <row r="50" spans="1:11" s="21" customFormat="1" ht="30">
      <c r="A50" s="58" t="s">
        <v>941</v>
      </c>
      <c r="B50" s="75" t="s">
        <v>760</v>
      </c>
      <c r="C50" s="83" t="s">
        <v>4</v>
      </c>
      <c r="D50" s="84">
        <v>20</v>
      </c>
      <c r="E50" s="84">
        <v>20</v>
      </c>
      <c r="F50" s="85">
        <v>5</v>
      </c>
      <c r="G50" s="85">
        <v>7.19</v>
      </c>
      <c r="H50" s="85">
        <v>7.2</v>
      </c>
      <c r="I50" s="146">
        <f t="shared" si="3"/>
        <v>6.46</v>
      </c>
      <c r="J50" s="146">
        <f t="shared" si="4"/>
        <v>129.19999999999999</v>
      </c>
      <c r="K50" s="146">
        <f t="shared" si="5"/>
        <v>129.19999999999999</v>
      </c>
    </row>
    <row r="51" spans="1:11" s="21" customFormat="1">
      <c r="A51" s="58" t="s">
        <v>967</v>
      </c>
      <c r="B51" s="75" t="s">
        <v>757</v>
      </c>
      <c r="C51" s="83" t="s">
        <v>4</v>
      </c>
      <c r="D51" s="84">
        <v>20</v>
      </c>
      <c r="E51" s="84">
        <v>20</v>
      </c>
      <c r="F51" s="85">
        <v>5.2</v>
      </c>
      <c r="G51" s="85">
        <f>63.2/12</f>
        <v>5.2666666666666666</v>
      </c>
      <c r="H51" s="85"/>
      <c r="I51" s="146">
        <f t="shared" si="3"/>
        <v>5.23</v>
      </c>
      <c r="J51" s="146">
        <f t="shared" si="4"/>
        <v>104.60000000000001</v>
      </c>
      <c r="K51" s="146">
        <f t="shared" si="5"/>
        <v>104.60000000000001</v>
      </c>
    </row>
    <row r="52" spans="1:11" s="21" customFormat="1" ht="30">
      <c r="A52" s="58" t="s">
        <v>968</v>
      </c>
      <c r="B52" s="75" t="s">
        <v>759</v>
      </c>
      <c r="C52" s="83" t="s">
        <v>4</v>
      </c>
      <c r="D52" s="84">
        <v>20</v>
      </c>
      <c r="E52" s="84">
        <v>20</v>
      </c>
      <c r="F52" s="85">
        <v>2</v>
      </c>
      <c r="G52" s="85">
        <f>36.41/12</f>
        <v>3.0341666666666662</v>
      </c>
      <c r="H52" s="85">
        <v>6</v>
      </c>
      <c r="I52" s="146">
        <f t="shared" si="3"/>
        <v>3.68</v>
      </c>
      <c r="J52" s="146">
        <f t="shared" si="4"/>
        <v>73.600000000000009</v>
      </c>
      <c r="K52" s="146">
        <f t="shared" si="5"/>
        <v>73.600000000000009</v>
      </c>
    </row>
    <row r="53" spans="1:11" s="21" customFormat="1">
      <c r="A53" s="46" t="s">
        <v>341</v>
      </c>
      <c r="B53" s="4" t="s">
        <v>685</v>
      </c>
      <c r="C53" s="4"/>
      <c r="D53" s="39"/>
      <c r="E53" s="39"/>
      <c r="F53" s="19"/>
      <c r="G53" s="19"/>
      <c r="H53" s="19"/>
      <c r="I53" s="136"/>
      <c r="J53" s="153"/>
      <c r="K53" s="154"/>
    </row>
    <row r="54" spans="1:11" s="21" customFormat="1">
      <c r="A54" s="58" t="s">
        <v>342</v>
      </c>
      <c r="B54" s="11" t="s">
        <v>495</v>
      </c>
      <c r="C54" s="12" t="s">
        <v>66</v>
      </c>
      <c r="D54" s="13">
        <v>150</v>
      </c>
      <c r="E54" s="13">
        <v>150</v>
      </c>
      <c r="F54" s="27">
        <f>140/40</f>
        <v>3.5</v>
      </c>
      <c r="G54" s="27"/>
      <c r="H54" s="27"/>
      <c r="I54" s="146">
        <f t="shared" ref="I54:I78" si="6">ROUND(AVERAGE(F54,G54,H54),2)</f>
        <v>3.5</v>
      </c>
      <c r="J54" s="146">
        <f t="shared" ref="J54:J78" si="7">I54*D54</f>
        <v>525</v>
      </c>
      <c r="K54" s="146">
        <f t="shared" ref="K54:K78" si="8">I54*E54</f>
        <v>525</v>
      </c>
    </row>
    <row r="55" spans="1:11" s="21" customFormat="1" ht="30">
      <c r="A55" s="58" t="s">
        <v>343</v>
      </c>
      <c r="B55" s="75" t="s">
        <v>824</v>
      </c>
      <c r="C55" s="83" t="s">
        <v>59</v>
      </c>
      <c r="D55" s="84">
        <v>25</v>
      </c>
      <c r="E55" s="84">
        <v>25</v>
      </c>
      <c r="F55" s="85">
        <v>126.86</v>
      </c>
      <c r="G55" s="85">
        <v>135.9</v>
      </c>
      <c r="H55" s="85">
        <v>129.9</v>
      </c>
      <c r="I55" s="146">
        <f t="shared" si="6"/>
        <v>130.88999999999999</v>
      </c>
      <c r="J55" s="146">
        <f t="shared" si="7"/>
        <v>3272.2499999999995</v>
      </c>
      <c r="K55" s="146">
        <f t="shared" si="8"/>
        <v>3272.2499999999995</v>
      </c>
    </row>
    <row r="56" spans="1:11" s="21" customFormat="1" ht="30">
      <c r="A56" s="58" t="s">
        <v>344</v>
      </c>
      <c r="B56" s="75" t="s">
        <v>825</v>
      </c>
      <c r="C56" s="83" t="s">
        <v>59</v>
      </c>
      <c r="D56" s="84">
        <v>25</v>
      </c>
      <c r="E56" s="84">
        <v>25</v>
      </c>
      <c r="F56" s="85">
        <v>69.900000000000006</v>
      </c>
      <c r="G56" s="85">
        <v>89.9</v>
      </c>
      <c r="H56" s="85"/>
      <c r="I56" s="146">
        <f t="shared" si="6"/>
        <v>79.900000000000006</v>
      </c>
      <c r="J56" s="146">
        <f t="shared" si="7"/>
        <v>1997.5000000000002</v>
      </c>
      <c r="K56" s="146">
        <f t="shared" si="8"/>
        <v>1997.5000000000002</v>
      </c>
    </row>
    <row r="57" spans="1:11" s="21" customFormat="1" ht="45">
      <c r="A57" s="58" t="s">
        <v>578</v>
      </c>
      <c r="B57" s="75" t="s">
        <v>842</v>
      </c>
      <c r="C57" s="83" t="s">
        <v>82</v>
      </c>
      <c r="D57" s="84">
        <v>10</v>
      </c>
      <c r="E57" s="84">
        <v>10</v>
      </c>
      <c r="F57" s="85">
        <v>120.45</v>
      </c>
      <c r="G57" s="85">
        <v>120.45</v>
      </c>
      <c r="H57" s="85">
        <v>125.34</v>
      </c>
      <c r="I57" s="146">
        <f t="shared" si="6"/>
        <v>122.08</v>
      </c>
      <c r="J57" s="146">
        <f t="shared" si="7"/>
        <v>1220.8</v>
      </c>
      <c r="K57" s="146">
        <f t="shared" si="8"/>
        <v>1220.8</v>
      </c>
    </row>
    <row r="58" spans="1:11" s="21" customFormat="1">
      <c r="A58" s="58" t="s">
        <v>579</v>
      </c>
      <c r="B58" s="75" t="s">
        <v>826</v>
      </c>
      <c r="C58" s="83" t="s">
        <v>82</v>
      </c>
      <c r="D58" s="84">
        <v>60</v>
      </c>
      <c r="E58" s="84">
        <v>60</v>
      </c>
      <c r="F58" s="85">
        <v>65.38</v>
      </c>
      <c r="G58" s="85">
        <v>77.760000000000005</v>
      </c>
      <c r="H58" s="85"/>
      <c r="I58" s="146">
        <f t="shared" si="6"/>
        <v>71.569999999999993</v>
      </c>
      <c r="J58" s="146">
        <f t="shared" si="7"/>
        <v>4294.2</v>
      </c>
      <c r="K58" s="146">
        <f t="shared" si="8"/>
        <v>4294.2</v>
      </c>
    </row>
    <row r="59" spans="1:11" s="21" customFormat="1">
      <c r="A59" s="58" t="s">
        <v>580</v>
      </c>
      <c r="B59" s="75" t="s">
        <v>827</v>
      </c>
      <c r="C59" s="83" t="s">
        <v>82</v>
      </c>
      <c r="D59" s="84">
        <v>60</v>
      </c>
      <c r="E59" s="84">
        <v>60</v>
      </c>
      <c r="F59" s="85">
        <v>81.36</v>
      </c>
      <c r="G59" s="85">
        <v>128.9</v>
      </c>
      <c r="H59" s="85">
        <v>128.9</v>
      </c>
      <c r="I59" s="146">
        <f t="shared" si="6"/>
        <v>113.05</v>
      </c>
      <c r="J59" s="146">
        <f t="shared" si="7"/>
        <v>6783</v>
      </c>
      <c r="K59" s="146">
        <f t="shared" si="8"/>
        <v>6783</v>
      </c>
    </row>
    <row r="60" spans="1:11" s="21" customFormat="1" ht="30">
      <c r="A60" s="58" t="s">
        <v>581</v>
      </c>
      <c r="B60" s="75" t="s">
        <v>964</v>
      </c>
      <c r="C60" s="83" t="s">
        <v>82</v>
      </c>
      <c r="D60" s="84">
        <v>30</v>
      </c>
      <c r="E60" s="84">
        <v>30</v>
      </c>
      <c r="F60" s="85">
        <v>299.99</v>
      </c>
      <c r="G60" s="85"/>
      <c r="H60" s="85"/>
      <c r="I60" s="146">
        <f t="shared" si="6"/>
        <v>299.99</v>
      </c>
      <c r="J60" s="146">
        <f t="shared" si="7"/>
        <v>8999.7000000000007</v>
      </c>
      <c r="K60" s="146">
        <f t="shared" si="8"/>
        <v>8999.7000000000007</v>
      </c>
    </row>
    <row r="61" spans="1:11" s="21" customFormat="1" ht="60">
      <c r="A61" s="58" t="s">
        <v>582</v>
      </c>
      <c r="B61" s="75" t="s">
        <v>828</v>
      </c>
      <c r="C61" s="83" t="s">
        <v>59</v>
      </c>
      <c r="D61" s="84">
        <v>70</v>
      </c>
      <c r="E61" s="84">
        <v>70</v>
      </c>
      <c r="F61" s="85">
        <v>104.9</v>
      </c>
      <c r="G61" s="85"/>
      <c r="H61" s="85"/>
      <c r="I61" s="146">
        <f t="shared" si="6"/>
        <v>104.9</v>
      </c>
      <c r="J61" s="146">
        <f t="shared" si="7"/>
        <v>7343</v>
      </c>
      <c r="K61" s="146">
        <f t="shared" si="8"/>
        <v>7343</v>
      </c>
    </row>
    <row r="62" spans="1:11" s="21" customFormat="1" ht="75">
      <c r="A62" s="58" t="s">
        <v>583</v>
      </c>
      <c r="B62" s="75" t="s">
        <v>829</v>
      </c>
      <c r="C62" s="83" t="s">
        <v>59</v>
      </c>
      <c r="D62" s="84">
        <v>110</v>
      </c>
      <c r="E62" s="84">
        <v>110</v>
      </c>
      <c r="F62" s="85">
        <v>189.9</v>
      </c>
      <c r="G62" s="85"/>
      <c r="H62" s="85"/>
      <c r="I62" s="146">
        <f t="shared" si="6"/>
        <v>189.9</v>
      </c>
      <c r="J62" s="146">
        <f t="shared" si="7"/>
        <v>20889</v>
      </c>
      <c r="K62" s="146">
        <f t="shared" si="8"/>
        <v>20889</v>
      </c>
    </row>
    <row r="63" spans="1:11" s="21" customFormat="1" ht="75">
      <c r="A63" s="58" t="s">
        <v>942</v>
      </c>
      <c r="B63" s="75" t="s">
        <v>830</v>
      </c>
      <c r="C63" s="83" t="s">
        <v>59</v>
      </c>
      <c r="D63" s="84">
        <v>40</v>
      </c>
      <c r="E63" s="84">
        <v>40</v>
      </c>
      <c r="F63" s="85">
        <v>249.9</v>
      </c>
      <c r="G63" s="85"/>
      <c r="H63" s="85"/>
      <c r="I63" s="146">
        <f t="shared" si="6"/>
        <v>249.9</v>
      </c>
      <c r="J63" s="146">
        <f t="shared" si="7"/>
        <v>9996</v>
      </c>
      <c r="K63" s="146">
        <f t="shared" si="8"/>
        <v>9996</v>
      </c>
    </row>
    <row r="64" spans="1:11" s="21" customFormat="1" ht="60">
      <c r="A64" s="58" t="s">
        <v>943</v>
      </c>
      <c r="B64" s="75" t="s">
        <v>831</v>
      </c>
      <c r="C64" s="83" t="s">
        <v>59</v>
      </c>
      <c r="D64" s="84">
        <v>60</v>
      </c>
      <c r="E64" s="84">
        <v>60</v>
      </c>
      <c r="F64" s="85">
        <v>179.9</v>
      </c>
      <c r="G64" s="85">
        <v>189.9</v>
      </c>
      <c r="H64" s="85"/>
      <c r="I64" s="146">
        <f t="shared" si="6"/>
        <v>184.9</v>
      </c>
      <c r="J64" s="146">
        <f t="shared" si="7"/>
        <v>11094</v>
      </c>
      <c r="K64" s="146">
        <f t="shared" si="8"/>
        <v>11094</v>
      </c>
    </row>
    <row r="65" spans="1:11" s="21" customFormat="1" ht="90">
      <c r="A65" s="58" t="s">
        <v>944</v>
      </c>
      <c r="B65" s="75" t="s">
        <v>832</v>
      </c>
      <c r="C65" s="83" t="s">
        <v>59</v>
      </c>
      <c r="D65" s="84">
        <v>25</v>
      </c>
      <c r="E65" s="84">
        <v>25</v>
      </c>
      <c r="F65" s="85">
        <v>469.9</v>
      </c>
      <c r="G65" s="85"/>
      <c r="H65" s="85"/>
      <c r="I65" s="146">
        <f t="shared" si="6"/>
        <v>469.9</v>
      </c>
      <c r="J65" s="146">
        <f t="shared" si="7"/>
        <v>11747.5</v>
      </c>
      <c r="K65" s="146">
        <f t="shared" si="8"/>
        <v>11747.5</v>
      </c>
    </row>
    <row r="66" spans="1:11" s="21" customFormat="1" ht="75">
      <c r="A66" s="58" t="s">
        <v>945</v>
      </c>
      <c r="B66" s="75" t="s">
        <v>846</v>
      </c>
      <c r="C66" s="83" t="s">
        <v>59</v>
      </c>
      <c r="D66" s="84">
        <v>20</v>
      </c>
      <c r="E66" s="84">
        <v>20</v>
      </c>
      <c r="F66" s="85">
        <v>298</v>
      </c>
      <c r="G66" s="85"/>
      <c r="H66" s="85"/>
      <c r="I66" s="146">
        <f t="shared" si="6"/>
        <v>298</v>
      </c>
      <c r="J66" s="146">
        <f t="shared" si="7"/>
        <v>5960</v>
      </c>
      <c r="K66" s="146">
        <f t="shared" si="8"/>
        <v>5960</v>
      </c>
    </row>
    <row r="67" spans="1:11" s="21" customFormat="1" ht="75">
      <c r="A67" s="58" t="s">
        <v>946</v>
      </c>
      <c r="B67" s="75" t="s">
        <v>848</v>
      </c>
      <c r="C67" s="83" t="s">
        <v>59</v>
      </c>
      <c r="D67" s="84">
        <v>60</v>
      </c>
      <c r="E67" s="84">
        <v>60</v>
      </c>
      <c r="F67" s="85">
        <v>224.9</v>
      </c>
      <c r="G67" s="85"/>
      <c r="H67" s="85"/>
      <c r="I67" s="146">
        <f t="shared" si="6"/>
        <v>224.9</v>
      </c>
      <c r="J67" s="146">
        <f t="shared" si="7"/>
        <v>13494</v>
      </c>
      <c r="K67" s="146">
        <f t="shared" si="8"/>
        <v>13494</v>
      </c>
    </row>
    <row r="68" spans="1:11" s="21" customFormat="1" ht="45">
      <c r="A68" s="58" t="s">
        <v>947</v>
      </c>
      <c r="B68" s="75" t="s">
        <v>833</v>
      </c>
      <c r="C68" s="83" t="s">
        <v>59</v>
      </c>
      <c r="D68" s="84">
        <v>50</v>
      </c>
      <c r="E68" s="84">
        <v>50</v>
      </c>
      <c r="F68" s="85">
        <f>85+40</f>
        <v>125</v>
      </c>
      <c r="G68" s="85"/>
      <c r="H68" s="85"/>
      <c r="I68" s="146">
        <f t="shared" si="6"/>
        <v>125</v>
      </c>
      <c r="J68" s="146">
        <f t="shared" si="7"/>
        <v>6250</v>
      </c>
      <c r="K68" s="146">
        <f t="shared" si="8"/>
        <v>6250</v>
      </c>
    </row>
    <row r="69" spans="1:11" s="21" customFormat="1" ht="90">
      <c r="A69" s="58" t="s">
        <v>948</v>
      </c>
      <c r="B69" s="75" t="s">
        <v>845</v>
      </c>
      <c r="C69" s="83" t="s">
        <v>59</v>
      </c>
      <c r="D69" s="84">
        <v>16</v>
      </c>
      <c r="E69" s="84">
        <v>16</v>
      </c>
      <c r="F69" s="85">
        <v>299.89999999999998</v>
      </c>
      <c r="G69" s="85"/>
      <c r="H69" s="85"/>
      <c r="I69" s="146">
        <f t="shared" si="6"/>
        <v>299.89999999999998</v>
      </c>
      <c r="J69" s="146">
        <f t="shared" si="7"/>
        <v>4798.3999999999996</v>
      </c>
      <c r="K69" s="146">
        <f t="shared" si="8"/>
        <v>4798.3999999999996</v>
      </c>
    </row>
    <row r="70" spans="1:11" s="21" customFormat="1" ht="75">
      <c r="A70" s="58" t="s">
        <v>949</v>
      </c>
      <c r="B70" s="75" t="s">
        <v>849</v>
      </c>
      <c r="C70" s="83" t="s">
        <v>59</v>
      </c>
      <c r="D70" s="84">
        <v>15</v>
      </c>
      <c r="E70" s="84">
        <v>15</v>
      </c>
      <c r="F70" s="85">
        <v>159</v>
      </c>
      <c r="G70" s="85"/>
      <c r="H70" s="85"/>
      <c r="I70" s="146">
        <f t="shared" si="6"/>
        <v>159</v>
      </c>
      <c r="J70" s="146">
        <f t="shared" si="7"/>
        <v>2385</v>
      </c>
      <c r="K70" s="146">
        <f t="shared" si="8"/>
        <v>2385</v>
      </c>
    </row>
    <row r="71" spans="1:11" s="21" customFormat="1" ht="75">
      <c r="A71" s="58" t="s">
        <v>950</v>
      </c>
      <c r="B71" s="75" t="s">
        <v>843</v>
      </c>
      <c r="C71" s="83" t="s">
        <v>59</v>
      </c>
      <c r="D71" s="84">
        <v>50</v>
      </c>
      <c r="E71" s="84">
        <v>50</v>
      </c>
      <c r="F71" s="85">
        <v>79.900000000000006</v>
      </c>
      <c r="G71" s="85"/>
      <c r="H71" s="85"/>
      <c r="I71" s="146">
        <f t="shared" si="6"/>
        <v>79.900000000000006</v>
      </c>
      <c r="J71" s="146">
        <f t="shared" si="7"/>
        <v>3995.0000000000005</v>
      </c>
      <c r="K71" s="146">
        <f t="shared" si="8"/>
        <v>3995.0000000000005</v>
      </c>
    </row>
    <row r="72" spans="1:11" s="21" customFormat="1" ht="60">
      <c r="A72" s="58" t="s">
        <v>951</v>
      </c>
      <c r="B72" s="75" t="s">
        <v>834</v>
      </c>
      <c r="C72" s="83" t="s">
        <v>82</v>
      </c>
      <c r="D72" s="84">
        <v>30</v>
      </c>
      <c r="E72" s="84">
        <v>30</v>
      </c>
      <c r="F72" s="85">
        <v>219.9</v>
      </c>
      <c r="G72" s="85"/>
      <c r="H72" s="85"/>
      <c r="I72" s="146">
        <f t="shared" si="6"/>
        <v>219.9</v>
      </c>
      <c r="J72" s="146">
        <f t="shared" si="7"/>
        <v>6597</v>
      </c>
      <c r="K72" s="146">
        <f t="shared" si="8"/>
        <v>6597</v>
      </c>
    </row>
    <row r="73" spans="1:11" s="21" customFormat="1" ht="60">
      <c r="A73" s="58" t="s">
        <v>952</v>
      </c>
      <c r="B73" s="75" t="s">
        <v>847</v>
      </c>
      <c r="C73" s="83" t="s">
        <v>82</v>
      </c>
      <c r="D73" s="84">
        <v>40</v>
      </c>
      <c r="E73" s="84">
        <v>40</v>
      </c>
      <c r="F73" s="85">
        <v>75.06</v>
      </c>
      <c r="G73" s="85">
        <v>73.900000000000006</v>
      </c>
      <c r="H73" s="85"/>
      <c r="I73" s="146">
        <f t="shared" si="6"/>
        <v>74.48</v>
      </c>
      <c r="J73" s="146">
        <f t="shared" si="7"/>
        <v>2979.2000000000003</v>
      </c>
      <c r="K73" s="146">
        <f t="shared" si="8"/>
        <v>2979.2000000000003</v>
      </c>
    </row>
    <row r="74" spans="1:11" s="21" customFormat="1" ht="75">
      <c r="A74" s="58" t="s">
        <v>953</v>
      </c>
      <c r="B74" s="75" t="s">
        <v>850</v>
      </c>
      <c r="C74" s="83" t="s">
        <v>82</v>
      </c>
      <c r="D74" s="84">
        <v>25</v>
      </c>
      <c r="E74" s="84">
        <v>25</v>
      </c>
      <c r="F74" s="85">
        <v>123.26</v>
      </c>
      <c r="G74" s="85">
        <v>110.71</v>
      </c>
      <c r="H74" s="85"/>
      <c r="I74" s="146">
        <f t="shared" si="6"/>
        <v>116.99</v>
      </c>
      <c r="J74" s="146">
        <f t="shared" si="7"/>
        <v>2924.75</v>
      </c>
      <c r="K74" s="146">
        <f t="shared" si="8"/>
        <v>2924.75</v>
      </c>
    </row>
    <row r="75" spans="1:11" s="21" customFormat="1" ht="60">
      <c r="A75" s="58" t="s">
        <v>954</v>
      </c>
      <c r="B75" s="75" t="s">
        <v>835</v>
      </c>
      <c r="C75" s="83" t="s">
        <v>59</v>
      </c>
      <c r="D75" s="84">
        <v>6</v>
      </c>
      <c r="E75" s="84">
        <v>6</v>
      </c>
      <c r="F75" s="85">
        <v>249</v>
      </c>
      <c r="G75" s="85"/>
      <c r="H75" s="85"/>
      <c r="I75" s="146">
        <f t="shared" si="6"/>
        <v>249</v>
      </c>
      <c r="J75" s="146">
        <f t="shared" si="7"/>
        <v>1494</v>
      </c>
      <c r="K75" s="146">
        <f t="shared" si="8"/>
        <v>1494</v>
      </c>
    </row>
    <row r="76" spans="1:11" s="21" customFormat="1" ht="30">
      <c r="A76" s="58" t="s">
        <v>958</v>
      </c>
      <c r="B76" s="75" t="s">
        <v>963</v>
      </c>
      <c r="C76" s="83" t="s">
        <v>4</v>
      </c>
      <c r="D76" s="84">
        <v>100</v>
      </c>
      <c r="E76" s="84">
        <v>100</v>
      </c>
      <c r="F76" s="85">
        <v>9.99</v>
      </c>
      <c r="G76" s="85">
        <v>10.9</v>
      </c>
      <c r="H76" s="85">
        <v>11</v>
      </c>
      <c r="I76" s="146">
        <f t="shared" si="6"/>
        <v>10.63</v>
      </c>
      <c r="J76" s="146">
        <f t="shared" si="7"/>
        <v>1063</v>
      </c>
      <c r="K76" s="146">
        <f t="shared" si="8"/>
        <v>1063</v>
      </c>
    </row>
    <row r="77" spans="1:11" s="21" customFormat="1" ht="30">
      <c r="A77" s="58" t="s">
        <v>959</v>
      </c>
      <c r="B77" s="75" t="s">
        <v>962</v>
      </c>
      <c r="C77" s="83" t="s">
        <v>4</v>
      </c>
      <c r="D77" s="84">
        <v>40</v>
      </c>
      <c r="E77" s="84">
        <v>40</v>
      </c>
      <c r="F77" s="85">
        <f>26.03</f>
        <v>26.03</v>
      </c>
      <c r="G77" s="85"/>
      <c r="H77" s="85"/>
      <c r="I77" s="146">
        <f t="shared" si="6"/>
        <v>26.03</v>
      </c>
      <c r="J77" s="146">
        <f t="shared" si="7"/>
        <v>1041.2</v>
      </c>
      <c r="K77" s="146">
        <f t="shared" si="8"/>
        <v>1041.2</v>
      </c>
    </row>
    <row r="78" spans="1:11" s="21" customFormat="1" ht="75">
      <c r="A78" s="58" t="s">
        <v>960</v>
      </c>
      <c r="B78" s="75" t="s">
        <v>841</v>
      </c>
      <c r="C78" s="83" t="s">
        <v>59</v>
      </c>
      <c r="D78" s="84">
        <v>20</v>
      </c>
      <c r="E78" s="84">
        <v>20</v>
      </c>
      <c r="F78" s="85">
        <v>125.9</v>
      </c>
      <c r="G78" s="85"/>
      <c r="H78" s="85"/>
      <c r="I78" s="146">
        <f t="shared" si="6"/>
        <v>125.9</v>
      </c>
      <c r="J78" s="146">
        <f t="shared" si="7"/>
        <v>2518</v>
      </c>
      <c r="K78" s="146">
        <f t="shared" si="8"/>
        <v>2518</v>
      </c>
    </row>
    <row r="79" spans="1:11" s="8" customFormat="1" ht="35.1" customHeight="1" thickBot="1">
      <c r="A79" s="105" t="s">
        <v>409</v>
      </c>
      <c r="B79" s="106"/>
      <c r="C79" s="106"/>
      <c r="D79" s="106"/>
      <c r="E79" s="106"/>
      <c r="F79" s="106"/>
      <c r="G79" s="106"/>
      <c r="H79" s="106"/>
      <c r="I79" s="106"/>
      <c r="J79" s="87">
        <f>SUM(J3:J78)</f>
        <v>204143.04400000002</v>
      </c>
      <c r="K79" s="87">
        <f>SUM(K3:K78)</f>
        <v>203429.32399999999</v>
      </c>
    </row>
  </sheetData>
  <sortState ref="B52:K76">
    <sortCondition ref="B52:B76"/>
  </sortState>
  <mergeCells count="3">
    <mergeCell ref="A1:K1"/>
    <mergeCell ref="A2:B2"/>
    <mergeCell ref="A79:I79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8" fitToHeight="0" orientation="portrait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2"/>
  <sheetViews>
    <sheetView tabSelected="1" view="pageBreakPreview" topLeftCell="A32" zoomScale="85" zoomScaleNormal="100" zoomScaleSheetLayoutView="85" workbookViewId="0">
      <selection activeCell="K42" sqref="A1:K42"/>
    </sheetView>
  </sheetViews>
  <sheetFormatPr defaultColWidth="9.140625" defaultRowHeight="15"/>
  <cols>
    <col min="1" max="1" width="6.5703125" style="3" customWidth="1"/>
    <col min="2" max="2" width="56.42578125" style="18" bestFit="1" customWidth="1"/>
    <col min="3" max="3" width="5.5703125" style="18" customWidth="1"/>
    <col min="4" max="5" width="17.28515625" style="23" customWidth="1"/>
    <col min="6" max="8" width="17.28515625" style="23" hidden="1" customWidth="1"/>
    <col min="9" max="9" width="18.140625" style="24" customWidth="1"/>
    <col min="10" max="11" width="19" style="25" customWidth="1"/>
    <col min="12" max="12" width="9.140625" style="18"/>
    <col min="13" max="13" width="12.140625" style="18" bestFit="1" customWidth="1"/>
    <col min="14" max="14" width="24" style="18" customWidth="1"/>
    <col min="15" max="16384" width="9.140625" style="18"/>
  </cols>
  <sheetData>
    <row r="1" spans="1:11" ht="30.75" customHeight="1">
      <c r="A1" s="107" t="s">
        <v>507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</row>
    <row r="2" spans="1:11" ht="28.5" customHeight="1">
      <c r="A2" s="97" t="s">
        <v>3</v>
      </c>
      <c r="B2" s="98"/>
      <c r="C2" s="67" t="s">
        <v>0</v>
      </c>
      <c r="D2" s="68" t="s">
        <v>513</v>
      </c>
      <c r="E2" s="71" t="s">
        <v>514</v>
      </c>
      <c r="F2" s="15" t="s">
        <v>50</v>
      </c>
      <c r="G2" s="16" t="s">
        <v>51</v>
      </c>
      <c r="H2" s="17" t="s">
        <v>52</v>
      </c>
      <c r="I2" s="69" t="s">
        <v>53</v>
      </c>
      <c r="J2" s="69" t="s">
        <v>515</v>
      </c>
      <c r="K2" s="71" t="s">
        <v>516</v>
      </c>
    </row>
    <row r="3" spans="1:11" ht="12.75" customHeight="1">
      <c r="A3" s="46" t="s">
        <v>490</v>
      </c>
      <c r="B3" s="19" t="s">
        <v>190</v>
      </c>
      <c r="C3" s="19"/>
      <c r="D3" s="26"/>
      <c r="E3" s="26"/>
      <c r="F3" s="19"/>
      <c r="G3" s="19"/>
      <c r="H3" s="19"/>
      <c r="I3" s="20"/>
      <c r="J3" s="70"/>
      <c r="K3" s="57"/>
    </row>
    <row r="4" spans="1:11" s="21" customFormat="1" ht="30">
      <c r="A4" s="58" t="s">
        <v>491</v>
      </c>
      <c r="B4" s="11" t="s">
        <v>499</v>
      </c>
      <c r="C4" s="12" t="s">
        <v>82</v>
      </c>
      <c r="D4" s="13">
        <v>60</v>
      </c>
      <c r="E4" s="13">
        <v>60</v>
      </c>
      <c r="F4" s="147">
        <v>424.6</v>
      </c>
      <c r="G4" s="147"/>
      <c r="H4" s="147"/>
      <c r="I4" s="146">
        <f>ROUND(AVERAGE(F4,G4,H4),2)</f>
        <v>424.6</v>
      </c>
      <c r="J4" s="146">
        <f>I4*D4</f>
        <v>25476</v>
      </c>
      <c r="K4" s="146">
        <f>I4*E4</f>
        <v>25476</v>
      </c>
    </row>
    <row r="5" spans="1:11" s="21" customFormat="1" ht="30">
      <c r="A5" s="58" t="s">
        <v>492</v>
      </c>
      <c r="B5" s="11" t="s">
        <v>91</v>
      </c>
      <c r="C5" s="12" t="s">
        <v>82</v>
      </c>
      <c r="D5" s="13">
        <v>35</v>
      </c>
      <c r="E5" s="13">
        <v>35</v>
      </c>
      <c r="F5" s="147">
        <f>748</f>
        <v>748</v>
      </c>
      <c r="G5" s="147"/>
      <c r="H5" s="147"/>
      <c r="I5" s="146">
        <f t="shared" ref="I5:I14" si="0">ROUND(AVERAGE(F5,G5,H5),2)</f>
        <v>748</v>
      </c>
      <c r="J5" s="146">
        <f t="shared" ref="J5:J14" si="1">I5*D5</f>
        <v>26180</v>
      </c>
      <c r="K5" s="146">
        <f t="shared" ref="K5:K14" si="2">I5*E5</f>
        <v>26180</v>
      </c>
    </row>
    <row r="6" spans="1:11" s="21" customFormat="1" ht="45">
      <c r="A6" s="58" t="s">
        <v>493</v>
      </c>
      <c r="B6" s="11" t="s">
        <v>114</v>
      </c>
      <c r="C6" s="12" t="s">
        <v>82</v>
      </c>
      <c r="D6" s="13">
        <v>10</v>
      </c>
      <c r="E6" s="13">
        <v>10</v>
      </c>
      <c r="F6" s="147">
        <v>37.700000000000003</v>
      </c>
      <c r="G6" s="147"/>
      <c r="H6" s="147"/>
      <c r="I6" s="146">
        <f t="shared" si="0"/>
        <v>37.700000000000003</v>
      </c>
      <c r="J6" s="146">
        <f t="shared" si="1"/>
        <v>377</v>
      </c>
      <c r="K6" s="146">
        <f t="shared" si="2"/>
        <v>377</v>
      </c>
    </row>
    <row r="7" spans="1:11" s="21" customFormat="1" ht="30">
      <c r="A7" s="58" t="s">
        <v>686</v>
      </c>
      <c r="B7" s="11" t="s">
        <v>113</v>
      </c>
      <c r="C7" s="12" t="s">
        <v>82</v>
      </c>
      <c r="D7" s="13">
        <v>20</v>
      </c>
      <c r="E7" s="13">
        <v>20</v>
      </c>
      <c r="F7" s="147">
        <v>177.45</v>
      </c>
      <c r="G7" s="147"/>
      <c r="H7" s="147"/>
      <c r="I7" s="146">
        <f t="shared" si="0"/>
        <v>177.45</v>
      </c>
      <c r="J7" s="146">
        <f t="shared" si="1"/>
        <v>3549</v>
      </c>
      <c r="K7" s="146">
        <f t="shared" si="2"/>
        <v>3549</v>
      </c>
    </row>
    <row r="8" spans="1:11" s="21" customFormat="1" ht="30">
      <c r="A8" s="58" t="s">
        <v>687</v>
      </c>
      <c r="B8" s="11" t="s">
        <v>92</v>
      </c>
      <c r="C8" s="12" t="s">
        <v>82</v>
      </c>
      <c r="D8" s="13">
        <v>10</v>
      </c>
      <c r="E8" s="13">
        <v>10</v>
      </c>
      <c r="F8" s="147">
        <f>190/4</f>
        <v>47.5</v>
      </c>
      <c r="G8" s="147"/>
      <c r="H8" s="147"/>
      <c r="I8" s="146">
        <f t="shared" si="0"/>
        <v>47.5</v>
      </c>
      <c r="J8" s="146">
        <f t="shared" si="1"/>
        <v>475</v>
      </c>
      <c r="K8" s="146">
        <f t="shared" si="2"/>
        <v>475</v>
      </c>
    </row>
    <row r="9" spans="1:11" s="21" customFormat="1" ht="30">
      <c r="A9" s="58" t="s">
        <v>688</v>
      </c>
      <c r="B9" s="11" t="s">
        <v>112</v>
      </c>
      <c r="C9" s="12" t="s">
        <v>82</v>
      </c>
      <c r="D9" s="13">
        <v>20</v>
      </c>
      <c r="E9" s="13">
        <v>20</v>
      </c>
      <c r="F9" s="147">
        <v>330.75</v>
      </c>
      <c r="G9" s="147"/>
      <c r="H9" s="147"/>
      <c r="I9" s="146">
        <f t="shared" si="0"/>
        <v>330.75</v>
      </c>
      <c r="J9" s="146">
        <f t="shared" si="1"/>
        <v>6615</v>
      </c>
      <c r="K9" s="146">
        <f t="shared" si="2"/>
        <v>6615</v>
      </c>
    </row>
    <row r="10" spans="1:11" s="21" customFormat="1" ht="45">
      <c r="A10" s="58" t="s">
        <v>689</v>
      </c>
      <c r="B10" s="11" t="s">
        <v>93</v>
      </c>
      <c r="C10" s="12" t="s">
        <v>82</v>
      </c>
      <c r="D10" s="13">
        <v>5</v>
      </c>
      <c r="E10" s="13">
        <v>5</v>
      </c>
      <c r="F10" s="147">
        <v>236.25</v>
      </c>
      <c r="G10" s="147"/>
      <c r="H10" s="147"/>
      <c r="I10" s="146">
        <f t="shared" si="0"/>
        <v>236.25</v>
      </c>
      <c r="J10" s="146">
        <f t="shared" si="1"/>
        <v>1181.25</v>
      </c>
      <c r="K10" s="146">
        <f t="shared" si="2"/>
        <v>1181.25</v>
      </c>
    </row>
    <row r="11" spans="1:11" s="21" customFormat="1" ht="30">
      <c r="A11" s="58" t="s">
        <v>690</v>
      </c>
      <c r="B11" s="11" t="s">
        <v>115</v>
      </c>
      <c r="C11" s="12" t="s">
        <v>82</v>
      </c>
      <c r="D11" s="13">
        <v>6</v>
      </c>
      <c r="E11" s="13">
        <v>6</v>
      </c>
      <c r="F11" s="147">
        <v>75.599999999999994</v>
      </c>
      <c r="G11" s="147"/>
      <c r="H11" s="147"/>
      <c r="I11" s="146">
        <f t="shared" si="0"/>
        <v>75.599999999999994</v>
      </c>
      <c r="J11" s="146">
        <f t="shared" si="1"/>
        <v>453.59999999999997</v>
      </c>
      <c r="K11" s="146">
        <f t="shared" si="2"/>
        <v>453.59999999999997</v>
      </c>
    </row>
    <row r="12" spans="1:11" s="21" customFormat="1" ht="45">
      <c r="A12" s="58" t="s">
        <v>691</v>
      </c>
      <c r="B12" s="11" t="s">
        <v>500</v>
      </c>
      <c r="C12" s="12" t="s">
        <v>82</v>
      </c>
      <c r="D12" s="13">
        <v>5</v>
      </c>
      <c r="E12" s="13">
        <v>5</v>
      </c>
      <c r="F12" s="147">
        <f>181.65/4</f>
        <v>45.412500000000001</v>
      </c>
      <c r="G12" s="147">
        <f>76.14+22.9</f>
        <v>99.039999999999992</v>
      </c>
      <c r="H12" s="147">
        <f>53.9+27.9</f>
        <v>81.8</v>
      </c>
      <c r="I12" s="146">
        <f t="shared" si="0"/>
        <v>75.42</v>
      </c>
      <c r="J12" s="146">
        <f t="shared" si="1"/>
        <v>377.1</v>
      </c>
      <c r="K12" s="146">
        <f t="shared" si="2"/>
        <v>377.1</v>
      </c>
    </row>
    <row r="13" spans="1:11" s="21" customFormat="1" ht="30">
      <c r="A13" s="58" t="s">
        <v>692</v>
      </c>
      <c r="B13" s="11" t="s">
        <v>498</v>
      </c>
      <c r="C13" s="12" t="s">
        <v>82</v>
      </c>
      <c r="D13" s="13">
        <f>6*12+24</f>
        <v>96</v>
      </c>
      <c r="E13" s="13">
        <f>6*12+24</f>
        <v>96</v>
      </c>
      <c r="F13" s="147">
        <v>166.95</v>
      </c>
      <c r="G13" s="147"/>
      <c r="H13" s="147"/>
      <c r="I13" s="146">
        <f t="shared" si="0"/>
        <v>166.95</v>
      </c>
      <c r="J13" s="146">
        <f t="shared" si="1"/>
        <v>16027.199999999999</v>
      </c>
      <c r="K13" s="146">
        <f t="shared" si="2"/>
        <v>16027.199999999999</v>
      </c>
    </row>
    <row r="14" spans="1:11" s="21" customFormat="1" ht="30">
      <c r="A14" s="58" t="s">
        <v>698</v>
      </c>
      <c r="B14" s="11" t="s">
        <v>108</v>
      </c>
      <c r="C14" s="12" t="s">
        <v>66</v>
      </c>
      <c r="D14" s="13">
        <v>3</v>
      </c>
      <c r="E14" s="13">
        <v>3</v>
      </c>
      <c r="F14" s="147">
        <f>106.13+29.9</f>
        <v>136.03</v>
      </c>
      <c r="G14" s="147">
        <f>86.5+17.19</f>
        <v>103.69</v>
      </c>
      <c r="H14" s="147">
        <f>84.99+18.47</f>
        <v>103.46</v>
      </c>
      <c r="I14" s="146">
        <f t="shared" si="0"/>
        <v>114.39</v>
      </c>
      <c r="J14" s="146">
        <f t="shared" si="1"/>
        <v>343.17</v>
      </c>
      <c r="K14" s="146">
        <f t="shared" si="2"/>
        <v>343.17</v>
      </c>
    </row>
    <row r="15" spans="1:11" s="21" customFormat="1">
      <c r="A15" s="46" t="s">
        <v>566</v>
      </c>
      <c r="B15" s="19" t="s">
        <v>200</v>
      </c>
      <c r="C15" s="19"/>
      <c r="D15" s="26"/>
      <c r="E15" s="26"/>
      <c r="F15" s="140"/>
      <c r="G15" s="140"/>
      <c r="H15" s="140"/>
      <c r="I15" s="140"/>
      <c r="J15" s="140"/>
      <c r="K15" s="141"/>
    </row>
    <row r="16" spans="1:11" s="21" customFormat="1" ht="30">
      <c r="A16" s="58" t="s">
        <v>567</v>
      </c>
      <c r="B16" s="11" t="s">
        <v>334</v>
      </c>
      <c r="C16" s="6" t="s">
        <v>323</v>
      </c>
      <c r="D16" s="29">
        <v>1500</v>
      </c>
      <c r="E16" s="29">
        <v>1500</v>
      </c>
      <c r="F16" s="155">
        <v>13</v>
      </c>
      <c r="G16" s="155"/>
      <c r="H16" s="155"/>
      <c r="I16" s="146">
        <f>ROUND(AVERAGE(F16,G16,H16),2)</f>
        <v>13</v>
      </c>
      <c r="J16" s="146">
        <f>I16*D16</f>
        <v>19500</v>
      </c>
      <c r="K16" s="146">
        <f>I16*E16</f>
        <v>19500</v>
      </c>
    </row>
    <row r="17" spans="1:11" s="21" customFormat="1" ht="30">
      <c r="A17" s="58" t="s">
        <v>576</v>
      </c>
      <c r="B17" s="11" t="s">
        <v>335</v>
      </c>
      <c r="C17" s="6" t="s">
        <v>323</v>
      </c>
      <c r="D17" s="29">
        <v>4000</v>
      </c>
      <c r="E17" s="29">
        <v>4000</v>
      </c>
      <c r="F17" s="155">
        <v>13</v>
      </c>
      <c r="G17" s="155"/>
      <c r="H17" s="155"/>
      <c r="I17" s="146">
        <f t="shared" ref="I17:I18" si="3">ROUND(AVERAGE(F17,G17,H17),2)</f>
        <v>13</v>
      </c>
      <c r="J17" s="146">
        <f t="shared" ref="J17:J18" si="4">I17*D17</f>
        <v>52000</v>
      </c>
      <c r="K17" s="146">
        <f t="shared" ref="K17:K18" si="5">I17*E17</f>
        <v>52000</v>
      </c>
    </row>
    <row r="18" spans="1:11" s="21" customFormat="1" ht="30">
      <c r="A18" s="58" t="s">
        <v>577</v>
      </c>
      <c r="B18" s="11" t="s">
        <v>336</v>
      </c>
      <c r="C18" s="6" t="s">
        <v>323</v>
      </c>
      <c r="D18" s="13">
        <v>4000</v>
      </c>
      <c r="E18" s="13">
        <v>4000</v>
      </c>
      <c r="F18" s="147">
        <v>15</v>
      </c>
      <c r="G18" s="147"/>
      <c r="H18" s="147"/>
      <c r="I18" s="146">
        <f t="shared" si="3"/>
        <v>15</v>
      </c>
      <c r="J18" s="146">
        <f t="shared" si="4"/>
        <v>60000</v>
      </c>
      <c r="K18" s="146">
        <f t="shared" si="5"/>
        <v>60000</v>
      </c>
    </row>
    <row r="19" spans="1:11" s="21" customFormat="1">
      <c r="A19" s="46" t="s">
        <v>571</v>
      </c>
      <c r="B19" s="19" t="s">
        <v>324</v>
      </c>
      <c r="C19" s="19"/>
      <c r="D19" s="26"/>
      <c r="E19" s="26"/>
      <c r="F19" s="140"/>
      <c r="G19" s="140"/>
      <c r="H19" s="140"/>
      <c r="I19" s="140"/>
      <c r="J19" s="140"/>
      <c r="K19" s="141"/>
    </row>
    <row r="20" spans="1:11" s="21" customFormat="1">
      <c r="A20" s="58" t="s">
        <v>572</v>
      </c>
      <c r="B20" s="11" t="s">
        <v>328</v>
      </c>
      <c r="C20" s="12" t="s">
        <v>330</v>
      </c>
      <c r="D20" s="13">
        <v>15</v>
      </c>
      <c r="E20" s="13">
        <v>15</v>
      </c>
      <c r="F20" s="147">
        <v>80</v>
      </c>
      <c r="G20" s="147"/>
      <c r="H20" s="147"/>
      <c r="I20" s="146">
        <f t="shared" ref="I20:I33" si="6">ROUND(AVERAGE(F20,G20,H20),2)</f>
        <v>80</v>
      </c>
      <c r="J20" s="146">
        <f t="shared" ref="J20:J33" si="7">I20*D20</f>
        <v>1200</v>
      </c>
      <c r="K20" s="146">
        <f t="shared" ref="K20:K33" si="8">I20*E20</f>
        <v>1200</v>
      </c>
    </row>
    <row r="21" spans="1:11" s="21" customFormat="1">
      <c r="A21" s="58" t="s">
        <v>702</v>
      </c>
      <c r="B21" s="11" t="s">
        <v>333</v>
      </c>
      <c r="C21" s="12" t="s">
        <v>325</v>
      </c>
      <c r="D21" s="13">
        <v>20</v>
      </c>
      <c r="E21" s="13">
        <v>20</v>
      </c>
      <c r="F21" s="147">
        <v>13.99</v>
      </c>
      <c r="G21" s="147">
        <v>18.39</v>
      </c>
      <c r="H21" s="147">
        <v>15.9</v>
      </c>
      <c r="I21" s="146">
        <f t="shared" si="6"/>
        <v>16.09</v>
      </c>
      <c r="J21" s="146">
        <f t="shared" si="7"/>
        <v>321.8</v>
      </c>
      <c r="K21" s="146">
        <f t="shared" si="8"/>
        <v>321.8</v>
      </c>
    </row>
    <row r="22" spans="1:11" s="21" customFormat="1">
      <c r="A22" s="58" t="s">
        <v>703</v>
      </c>
      <c r="B22" s="11" t="s">
        <v>332</v>
      </c>
      <c r="C22" s="12" t="s">
        <v>325</v>
      </c>
      <c r="D22" s="13">
        <v>50</v>
      </c>
      <c r="E22" s="13">
        <v>50</v>
      </c>
      <c r="F22" s="147">
        <v>33.9</v>
      </c>
      <c r="G22" s="147">
        <v>35.9</v>
      </c>
      <c r="H22" s="147">
        <v>42.9</v>
      </c>
      <c r="I22" s="146">
        <f t="shared" si="6"/>
        <v>37.57</v>
      </c>
      <c r="J22" s="146">
        <f t="shared" si="7"/>
        <v>1878.5</v>
      </c>
      <c r="K22" s="146">
        <f t="shared" si="8"/>
        <v>1878.5</v>
      </c>
    </row>
    <row r="23" spans="1:11" s="21" customFormat="1">
      <c r="A23" s="58" t="s">
        <v>704</v>
      </c>
      <c r="B23" s="11" t="s">
        <v>329</v>
      </c>
      <c r="C23" s="12" t="s">
        <v>325</v>
      </c>
      <c r="D23" s="13">
        <v>40</v>
      </c>
      <c r="E23" s="13">
        <v>40</v>
      </c>
      <c r="F23" s="147">
        <v>19.489999999999998</v>
      </c>
      <c r="G23" s="147">
        <v>23.9</v>
      </c>
      <c r="H23" s="147">
        <v>24.99</v>
      </c>
      <c r="I23" s="146">
        <f t="shared" si="6"/>
        <v>22.79</v>
      </c>
      <c r="J23" s="146">
        <f t="shared" si="7"/>
        <v>911.59999999999991</v>
      </c>
      <c r="K23" s="146">
        <f t="shared" si="8"/>
        <v>911.59999999999991</v>
      </c>
    </row>
    <row r="24" spans="1:11" s="21" customFormat="1" ht="30">
      <c r="A24" s="58" t="s">
        <v>705</v>
      </c>
      <c r="B24" s="11" t="s">
        <v>331</v>
      </c>
      <c r="C24" s="12" t="s">
        <v>4</v>
      </c>
      <c r="D24" s="13">
        <v>50</v>
      </c>
      <c r="E24" s="13">
        <v>50</v>
      </c>
      <c r="F24" s="147">
        <v>6.9</v>
      </c>
      <c r="G24" s="147">
        <v>6.09</v>
      </c>
      <c r="H24" s="147">
        <v>3.69</v>
      </c>
      <c r="I24" s="146">
        <f t="shared" si="6"/>
        <v>5.56</v>
      </c>
      <c r="J24" s="146">
        <f t="shared" si="7"/>
        <v>278</v>
      </c>
      <c r="K24" s="146">
        <f t="shared" si="8"/>
        <v>278</v>
      </c>
    </row>
    <row r="25" spans="1:11" s="21" customFormat="1" ht="30">
      <c r="A25" s="58" t="s">
        <v>706</v>
      </c>
      <c r="B25" s="11" t="s">
        <v>672</v>
      </c>
      <c r="C25" s="12" t="s">
        <v>77</v>
      </c>
      <c r="D25" s="13">
        <v>10</v>
      </c>
      <c r="E25" s="13">
        <v>10</v>
      </c>
      <c r="F25" s="147">
        <v>2.2000000000000002</v>
      </c>
      <c r="G25" s="147">
        <v>2.25</v>
      </c>
      <c r="H25" s="147">
        <v>2.93</v>
      </c>
      <c r="I25" s="146">
        <f t="shared" si="6"/>
        <v>2.46</v>
      </c>
      <c r="J25" s="146">
        <f t="shared" si="7"/>
        <v>24.6</v>
      </c>
      <c r="K25" s="146">
        <f t="shared" si="8"/>
        <v>24.6</v>
      </c>
    </row>
    <row r="26" spans="1:11" s="21" customFormat="1" ht="30">
      <c r="A26" s="58" t="s">
        <v>707</v>
      </c>
      <c r="B26" s="11" t="s">
        <v>501</v>
      </c>
      <c r="C26" s="12" t="s">
        <v>323</v>
      </c>
      <c r="D26" s="13">
        <v>75</v>
      </c>
      <c r="E26" s="13">
        <v>20</v>
      </c>
      <c r="F26" s="147">
        <f>1080/6</f>
        <v>180</v>
      </c>
      <c r="G26" s="147">
        <v>182</v>
      </c>
      <c r="H26" s="147"/>
      <c r="I26" s="146">
        <f t="shared" si="6"/>
        <v>181</v>
      </c>
      <c r="J26" s="146">
        <f t="shared" si="7"/>
        <v>13575</v>
      </c>
      <c r="K26" s="146">
        <f t="shared" si="8"/>
        <v>3620</v>
      </c>
    </row>
    <row r="27" spans="1:11" s="21" customFormat="1" ht="30">
      <c r="A27" s="58" t="s">
        <v>708</v>
      </c>
      <c r="B27" s="11" t="s">
        <v>502</v>
      </c>
      <c r="C27" s="12" t="s">
        <v>323</v>
      </c>
      <c r="D27" s="13">
        <v>80</v>
      </c>
      <c r="E27" s="13">
        <v>80</v>
      </c>
      <c r="F27" s="147">
        <v>140</v>
      </c>
      <c r="G27" s="147">
        <v>135</v>
      </c>
      <c r="H27" s="147">
        <v>125</v>
      </c>
      <c r="I27" s="146">
        <f t="shared" si="6"/>
        <v>133.33000000000001</v>
      </c>
      <c r="J27" s="146">
        <f t="shared" si="7"/>
        <v>10666.400000000001</v>
      </c>
      <c r="K27" s="146">
        <f t="shared" si="8"/>
        <v>10666.400000000001</v>
      </c>
    </row>
    <row r="28" spans="1:11" s="21" customFormat="1" ht="30">
      <c r="A28" s="58" t="s">
        <v>709</v>
      </c>
      <c r="B28" s="11" t="s">
        <v>503</v>
      </c>
      <c r="C28" s="12" t="s">
        <v>323</v>
      </c>
      <c r="D28" s="13">
        <v>5</v>
      </c>
      <c r="E28" s="13">
        <v>0</v>
      </c>
      <c r="F28" s="147">
        <v>22</v>
      </c>
      <c r="G28" s="147"/>
      <c r="H28" s="147"/>
      <c r="I28" s="146">
        <f t="shared" si="6"/>
        <v>22</v>
      </c>
      <c r="J28" s="146">
        <f t="shared" si="7"/>
        <v>110</v>
      </c>
      <c r="K28" s="146">
        <f t="shared" si="8"/>
        <v>0</v>
      </c>
    </row>
    <row r="29" spans="1:11" s="21" customFormat="1" ht="30">
      <c r="A29" s="58" t="s">
        <v>710</v>
      </c>
      <c r="B29" s="11" t="s">
        <v>504</v>
      </c>
      <c r="C29" s="12" t="s">
        <v>323</v>
      </c>
      <c r="D29" s="13">
        <v>5</v>
      </c>
      <c r="E29" s="13">
        <v>0</v>
      </c>
      <c r="F29" s="147">
        <v>30.9</v>
      </c>
      <c r="G29" s="147"/>
      <c r="H29" s="147"/>
      <c r="I29" s="146">
        <f t="shared" si="6"/>
        <v>30.9</v>
      </c>
      <c r="J29" s="146">
        <f t="shared" si="7"/>
        <v>154.5</v>
      </c>
      <c r="K29" s="146">
        <f t="shared" si="8"/>
        <v>0</v>
      </c>
    </row>
    <row r="30" spans="1:11" s="21" customFormat="1" ht="30">
      <c r="A30" s="58" t="s">
        <v>711</v>
      </c>
      <c r="B30" s="11" t="s">
        <v>957</v>
      </c>
      <c r="C30" s="12" t="s">
        <v>323</v>
      </c>
      <c r="D30" s="13">
        <v>180</v>
      </c>
      <c r="E30" s="13">
        <v>180</v>
      </c>
      <c r="F30" s="147">
        <v>45.91</v>
      </c>
      <c r="G30" s="147"/>
      <c r="H30" s="147"/>
      <c r="I30" s="146">
        <f t="shared" si="6"/>
        <v>45.91</v>
      </c>
      <c r="J30" s="146">
        <f t="shared" si="7"/>
        <v>8263.7999999999993</v>
      </c>
      <c r="K30" s="146">
        <f t="shared" si="8"/>
        <v>8263.7999999999993</v>
      </c>
    </row>
    <row r="31" spans="1:11" s="21" customFormat="1" ht="30">
      <c r="A31" s="58" t="s">
        <v>807</v>
      </c>
      <c r="B31" s="11" t="s">
        <v>508</v>
      </c>
      <c r="C31" s="12" t="s">
        <v>323</v>
      </c>
      <c r="D31" s="13">
        <v>120</v>
      </c>
      <c r="E31" s="13">
        <v>120</v>
      </c>
      <c r="F31" s="147">
        <f>63.76/1.42</f>
        <v>44.901408450704224</v>
      </c>
      <c r="G31" s="147">
        <v>52.9</v>
      </c>
      <c r="H31" s="147"/>
      <c r="I31" s="146">
        <f t="shared" si="6"/>
        <v>48.9</v>
      </c>
      <c r="J31" s="146">
        <f t="shared" si="7"/>
        <v>5868</v>
      </c>
      <c r="K31" s="146">
        <f t="shared" si="8"/>
        <v>5868</v>
      </c>
    </row>
    <row r="32" spans="1:11" s="21" customFormat="1">
      <c r="A32" s="58" t="s">
        <v>808</v>
      </c>
      <c r="B32" s="11" t="s">
        <v>497</v>
      </c>
      <c r="C32" s="12" t="s">
        <v>66</v>
      </c>
      <c r="D32" s="13">
        <v>50</v>
      </c>
      <c r="E32" s="13">
        <v>50</v>
      </c>
      <c r="F32" s="147">
        <v>26.9</v>
      </c>
      <c r="G32" s="147">
        <v>28.9</v>
      </c>
      <c r="H32" s="147"/>
      <c r="I32" s="146">
        <f t="shared" si="6"/>
        <v>27.9</v>
      </c>
      <c r="J32" s="146">
        <f t="shared" si="7"/>
        <v>1395</v>
      </c>
      <c r="K32" s="146">
        <f t="shared" si="8"/>
        <v>1395</v>
      </c>
    </row>
    <row r="33" spans="1:11" s="21" customFormat="1">
      <c r="A33" s="58" t="s">
        <v>809</v>
      </c>
      <c r="B33" s="11" t="s">
        <v>496</v>
      </c>
      <c r="C33" s="12" t="s">
        <v>66</v>
      </c>
      <c r="D33" s="13">
        <v>50</v>
      </c>
      <c r="E33" s="13">
        <v>50</v>
      </c>
      <c r="F33" s="147">
        <v>24.9</v>
      </c>
      <c r="G33" s="147">
        <v>27.9</v>
      </c>
      <c r="H33" s="147"/>
      <c r="I33" s="146">
        <f t="shared" si="6"/>
        <v>26.4</v>
      </c>
      <c r="J33" s="146">
        <f t="shared" si="7"/>
        <v>1320</v>
      </c>
      <c r="K33" s="146">
        <f t="shared" si="8"/>
        <v>1320</v>
      </c>
    </row>
    <row r="34" spans="1:11" s="21" customFormat="1" ht="30">
      <c r="A34" s="58" t="s">
        <v>810</v>
      </c>
      <c r="B34" s="11" t="s">
        <v>816</v>
      </c>
      <c r="C34" s="12" t="s">
        <v>66</v>
      </c>
      <c r="D34" s="13">
        <v>100</v>
      </c>
      <c r="E34" s="13">
        <v>100</v>
      </c>
      <c r="F34" s="147">
        <v>20.67</v>
      </c>
      <c r="G34" s="147"/>
      <c r="H34" s="147"/>
      <c r="I34" s="146">
        <f t="shared" ref="I34" si="9">ROUND(AVERAGE(F34,G34,H34),2)</f>
        <v>20.67</v>
      </c>
      <c r="J34" s="146">
        <f t="shared" ref="J34" si="10">I34*D34</f>
        <v>2067</v>
      </c>
      <c r="K34" s="146">
        <f t="shared" ref="K34" si="11">I34*E34</f>
        <v>2067</v>
      </c>
    </row>
    <row r="35" spans="1:11" s="21" customFormat="1" ht="30">
      <c r="A35" s="58" t="s">
        <v>811</v>
      </c>
      <c r="B35" s="11" t="s">
        <v>326</v>
      </c>
      <c r="C35" s="12" t="s">
        <v>325</v>
      </c>
      <c r="D35" s="13">
        <v>50</v>
      </c>
      <c r="E35" s="13">
        <v>50</v>
      </c>
      <c r="F35" s="147">
        <v>19.899999999999999</v>
      </c>
      <c r="G35" s="147">
        <v>19.899999999999999</v>
      </c>
      <c r="H35" s="147">
        <v>20.67</v>
      </c>
      <c r="I35" s="146">
        <f>ROUND(AVERAGE(F35,G35,H35),2)</f>
        <v>20.16</v>
      </c>
      <c r="J35" s="146">
        <f>I35*D35</f>
        <v>1008</v>
      </c>
      <c r="K35" s="146">
        <f>I35*E35</f>
        <v>1008</v>
      </c>
    </row>
    <row r="36" spans="1:11" s="21" customFormat="1">
      <c r="A36" s="58" t="s">
        <v>812</v>
      </c>
      <c r="B36" s="11" t="s">
        <v>327</v>
      </c>
      <c r="C36" s="12" t="s">
        <v>325</v>
      </c>
      <c r="D36" s="13">
        <v>60</v>
      </c>
      <c r="E36" s="13">
        <v>60</v>
      </c>
      <c r="F36" s="147">
        <v>21.9</v>
      </c>
      <c r="G36" s="147">
        <v>32.9</v>
      </c>
      <c r="H36" s="147"/>
      <c r="I36" s="146">
        <f>ROUND(AVERAGE(F36,G36,H36),2)</f>
        <v>27.4</v>
      </c>
      <c r="J36" s="146">
        <f>I36*D36</f>
        <v>1644</v>
      </c>
      <c r="K36" s="146">
        <f>I36*E36</f>
        <v>1644</v>
      </c>
    </row>
    <row r="37" spans="1:11" s="21" customFormat="1">
      <c r="A37" s="58" t="s">
        <v>813</v>
      </c>
      <c r="B37" s="11" t="s">
        <v>337</v>
      </c>
      <c r="C37" s="12" t="s">
        <v>77</v>
      </c>
      <c r="D37" s="13">
        <v>4</v>
      </c>
      <c r="E37" s="13">
        <v>4</v>
      </c>
      <c r="F37" s="147">
        <v>122.99</v>
      </c>
      <c r="G37" s="147">
        <f>91+28.9</f>
        <v>119.9</v>
      </c>
      <c r="H37" s="147"/>
      <c r="I37" s="146">
        <f>ROUND(AVERAGE(F37,G37,H37),2)</f>
        <v>121.45</v>
      </c>
      <c r="J37" s="146">
        <f>I37*D37</f>
        <v>485.8</v>
      </c>
      <c r="K37" s="146">
        <f>I37*E37</f>
        <v>485.8</v>
      </c>
    </row>
    <row r="38" spans="1:11">
      <c r="A38" s="46" t="s">
        <v>575</v>
      </c>
      <c r="B38" s="19" t="s">
        <v>338</v>
      </c>
      <c r="C38" s="19"/>
      <c r="D38" s="26"/>
      <c r="E38" s="26"/>
      <c r="F38" s="140"/>
      <c r="G38" s="140"/>
      <c r="H38" s="140"/>
      <c r="I38" s="140"/>
      <c r="J38" s="140"/>
      <c r="K38" s="141"/>
    </row>
    <row r="39" spans="1:11" ht="45">
      <c r="A39" s="58" t="s">
        <v>574</v>
      </c>
      <c r="B39" s="11" t="s">
        <v>955</v>
      </c>
      <c r="C39" s="12" t="s">
        <v>323</v>
      </c>
      <c r="D39" s="13">
        <f>888.15*4</f>
        <v>3552.6</v>
      </c>
      <c r="E39" s="13">
        <f>888.15*4</f>
        <v>3552.6</v>
      </c>
      <c r="F39" s="147">
        <v>8</v>
      </c>
      <c r="G39" s="147"/>
      <c r="H39" s="147"/>
      <c r="I39" s="146">
        <f t="shared" ref="I39" si="12">ROUND(AVERAGE(F39,G39,H39),2)</f>
        <v>8</v>
      </c>
      <c r="J39" s="146">
        <f t="shared" ref="J39" si="13">I39*D39</f>
        <v>28420.799999999999</v>
      </c>
      <c r="K39" s="146">
        <f t="shared" ref="K39:K41" si="14">I39*E39</f>
        <v>28420.799999999999</v>
      </c>
    </row>
    <row r="40" spans="1:11">
      <c r="A40" s="46" t="s">
        <v>712</v>
      </c>
      <c r="B40" s="19" t="s">
        <v>339</v>
      </c>
      <c r="C40" s="19"/>
      <c r="D40" s="26"/>
      <c r="E40" s="26"/>
      <c r="F40" s="140"/>
      <c r="G40" s="140"/>
      <c r="H40" s="140"/>
      <c r="I40" s="140"/>
      <c r="J40" s="140"/>
      <c r="K40" s="141"/>
    </row>
    <row r="41" spans="1:11" ht="60">
      <c r="A41" s="58" t="s">
        <v>713</v>
      </c>
      <c r="B41" s="11" t="s">
        <v>956</v>
      </c>
      <c r="C41" s="12" t="s">
        <v>467</v>
      </c>
      <c r="D41" s="13">
        <v>12</v>
      </c>
      <c r="E41" s="13">
        <v>12</v>
      </c>
      <c r="F41" s="147">
        <v>2250</v>
      </c>
      <c r="G41" s="147"/>
      <c r="H41" s="147"/>
      <c r="I41" s="146">
        <f t="shared" ref="I41" si="15">ROUND(AVERAGE(F41,G41,H41),2)</f>
        <v>2250</v>
      </c>
      <c r="J41" s="146">
        <f t="shared" ref="J41" si="16">I41*D41</f>
        <v>27000</v>
      </c>
      <c r="K41" s="146">
        <f t="shared" si="14"/>
        <v>27000</v>
      </c>
    </row>
    <row r="42" spans="1:11" s="8" customFormat="1" ht="38.25" customHeight="1" thickBot="1">
      <c r="A42" s="105" t="s">
        <v>409</v>
      </c>
      <c r="B42" s="106"/>
      <c r="C42" s="106"/>
      <c r="D42" s="106"/>
      <c r="E42" s="106"/>
      <c r="F42" s="106"/>
      <c r="G42" s="106"/>
      <c r="H42" s="106"/>
      <c r="I42" s="106"/>
      <c r="J42" s="74">
        <f>SUM(J3:J41)</f>
        <v>319147.12</v>
      </c>
      <c r="K42" s="74">
        <f>SUM(K3:K41)</f>
        <v>308927.62</v>
      </c>
    </row>
  </sheetData>
  <sortState ref="B4:K14">
    <sortCondition ref="B4:B14"/>
  </sortState>
  <mergeCells count="3">
    <mergeCell ref="A2:B2"/>
    <mergeCell ref="A42:I42"/>
    <mergeCell ref="A1:K1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7" fitToHeight="0" orientation="portrait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9"/>
  <sheetViews>
    <sheetView zoomScaleNormal="100" zoomScaleSheetLayoutView="100" workbookViewId="0">
      <selection activeCell="C9" sqref="A1:C9"/>
    </sheetView>
  </sheetViews>
  <sheetFormatPr defaultColWidth="9.140625" defaultRowHeight="15"/>
  <cols>
    <col min="1" max="1" width="8.7109375" style="1" customWidth="1"/>
    <col min="2" max="2" width="41.140625" style="18" customWidth="1"/>
    <col min="3" max="3" width="13.28515625" style="24" customWidth="1"/>
    <col min="4" max="4" width="9.140625" style="18"/>
    <col min="5" max="5" width="12.140625" style="18" bestFit="1" customWidth="1"/>
    <col min="6" max="6" width="24" style="18" customWidth="1"/>
    <col min="7" max="16384" width="9.140625" style="18"/>
  </cols>
  <sheetData>
    <row r="1" spans="1:3" ht="48" customHeight="1">
      <c r="A1" s="94" t="s">
        <v>442</v>
      </c>
      <c r="B1" s="95"/>
      <c r="C1" s="96"/>
    </row>
    <row r="2" spans="1:3" ht="22.5" customHeight="1">
      <c r="A2" s="97" t="s">
        <v>3</v>
      </c>
      <c r="B2" s="98"/>
      <c r="C2" s="40" t="s">
        <v>28</v>
      </c>
    </row>
    <row r="3" spans="1:3">
      <c r="A3" s="41" t="s">
        <v>443</v>
      </c>
      <c r="B3" s="11" t="s">
        <v>448</v>
      </c>
      <c r="C3" s="42">
        <v>0.05</v>
      </c>
    </row>
    <row r="4" spans="1:3">
      <c r="A4" s="41" t="s">
        <v>444</v>
      </c>
      <c r="B4" s="11" t="s">
        <v>45</v>
      </c>
      <c r="C4" s="42">
        <v>0.1</v>
      </c>
    </row>
    <row r="5" spans="1:3">
      <c r="A5" s="41" t="s">
        <v>445</v>
      </c>
      <c r="B5" s="11" t="s">
        <v>46</v>
      </c>
      <c r="C5" s="42">
        <v>0.05</v>
      </c>
    </row>
    <row r="6" spans="1:3">
      <c r="A6" s="41" t="s">
        <v>446</v>
      </c>
      <c r="B6" s="11" t="s">
        <v>47</v>
      </c>
      <c r="C6" s="42">
        <v>1.6500000000000001E-2</v>
      </c>
    </row>
    <row r="7" spans="1:3">
      <c r="A7" s="41" t="s">
        <v>447</v>
      </c>
      <c r="B7" s="11" t="s">
        <v>48</v>
      </c>
      <c r="C7" s="42">
        <v>7.5999999999999998E-2</v>
      </c>
    </row>
    <row r="8" spans="1:3">
      <c r="A8" s="43"/>
      <c r="B8" s="31"/>
      <c r="C8" s="44"/>
    </row>
    <row r="9" spans="1:3" s="8" customFormat="1" ht="24.75" customHeight="1" thickBot="1">
      <c r="A9" s="99" t="s">
        <v>466</v>
      </c>
      <c r="B9" s="100"/>
      <c r="C9" s="45">
        <f>(1+C3)*(1+C4)/(1-SUM(C5,C6,C7))-1</f>
        <v>0.34693877551020447</v>
      </c>
    </row>
  </sheetData>
  <mergeCells count="3">
    <mergeCell ref="A1:C1"/>
    <mergeCell ref="A2:B2"/>
    <mergeCell ref="A9:B9"/>
  </mergeCells>
  <printOptions horizontalCentered="1"/>
  <pageMargins left="0.51181102362204722" right="0.51181102362204722" top="1.1811023622047245" bottom="0.78740157480314965" header="0.31496062992125984" footer="0.31496062992125984"/>
  <pageSetup paperSize="9" fitToHeight="0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26"/>
  <sheetViews>
    <sheetView view="pageBreakPreview" zoomScaleNormal="100" zoomScaleSheetLayoutView="100" workbookViewId="0">
      <selection activeCell="I26" sqref="A1:I26"/>
    </sheetView>
  </sheetViews>
  <sheetFormatPr defaultColWidth="9.140625" defaultRowHeight="15"/>
  <cols>
    <col min="1" max="1" width="6.5703125" style="3" customWidth="1"/>
    <col min="2" max="2" width="51.5703125" style="18" customWidth="1"/>
    <col min="3" max="3" width="5.5703125" style="18" customWidth="1"/>
    <col min="4" max="4" width="9.7109375" style="23" customWidth="1"/>
    <col min="5" max="5" width="13" style="24" customWidth="1"/>
    <col min="6" max="6" width="16.5703125" style="24" customWidth="1"/>
    <col min="7" max="7" width="17.7109375" style="24" customWidth="1"/>
    <col min="8" max="8" width="17" style="24" customWidth="1"/>
    <col min="9" max="9" width="15.28515625" style="24" customWidth="1"/>
    <col min="10" max="10" width="9.140625" style="18"/>
    <col min="11" max="11" width="12.140625" style="18" bestFit="1" customWidth="1"/>
    <col min="12" max="12" width="24" style="18" customWidth="1"/>
    <col min="13" max="16384" width="9.140625" style="18"/>
  </cols>
  <sheetData>
    <row r="1" spans="1:9" ht="35.25" customHeight="1">
      <c r="A1" s="94" t="s">
        <v>450</v>
      </c>
      <c r="B1" s="95"/>
      <c r="C1" s="95"/>
      <c r="D1" s="95"/>
      <c r="E1" s="95"/>
      <c r="F1" s="95"/>
      <c r="G1" s="95"/>
      <c r="H1" s="95"/>
      <c r="I1" s="96"/>
    </row>
    <row r="2" spans="1:9" ht="21.75" customHeight="1">
      <c r="A2" s="97" t="s">
        <v>3</v>
      </c>
      <c r="B2" s="98"/>
      <c r="C2" s="98" t="s">
        <v>0</v>
      </c>
      <c r="D2" s="101" t="s">
        <v>8</v>
      </c>
      <c r="E2" s="102" t="s">
        <v>470</v>
      </c>
      <c r="F2" s="102"/>
      <c r="G2" s="102"/>
      <c r="H2" s="103" t="s">
        <v>768</v>
      </c>
      <c r="I2" s="104" t="s">
        <v>213</v>
      </c>
    </row>
    <row r="3" spans="1:9" ht="30">
      <c r="A3" s="97"/>
      <c r="B3" s="98"/>
      <c r="C3" s="98"/>
      <c r="D3" s="101"/>
      <c r="E3" s="34" t="s">
        <v>11</v>
      </c>
      <c r="F3" s="91" t="s">
        <v>372</v>
      </c>
      <c r="G3" s="76" t="s">
        <v>49</v>
      </c>
      <c r="H3" s="103"/>
      <c r="I3" s="104"/>
    </row>
    <row r="4" spans="1:9" ht="12.75" customHeight="1">
      <c r="A4" s="46" t="s">
        <v>1</v>
      </c>
      <c r="B4" s="19" t="s">
        <v>468</v>
      </c>
      <c r="C4" s="19"/>
      <c r="D4" s="19"/>
      <c r="E4" s="20"/>
      <c r="F4" s="20"/>
      <c r="G4" s="20"/>
      <c r="H4" s="20"/>
      <c r="I4" s="61"/>
    </row>
    <row r="5" spans="1:9" ht="12.75" customHeight="1">
      <c r="A5" s="41" t="s">
        <v>2</v>
      </c>
      <c r="B5" s="11" t="s">
        <v>346</v>
      </c>
      <c r="C5" s="6" t="s">
        <v>4</v>
      </c>
      <c r="D5" s="29">
        <v>3</v>
      </c>
      <c r="E5" s="128">
        <v>1000</v>
      </c>
      <c r="F5" s="128">
        <v>0</v>
      </c>
      <c r="G5" s="128">
        <v>0</v>
      </c>
      <c r="H5" s="128">
        <f t="shared" ref="H5:H18" si="0">SUM(E5:G5)*(1+PERCENTUAL_ENCARGOS)</f>
        <v>1775.5800000000002</v>
      </c>
      <c r="I5" s="129">
        <f>H5*D5</f>
        <v>5326.7400000000007</v>
      </c>
    </row>
    <row r="6" spans="1:9" ht="12.75" customHeight="1">
      <c r="A6" s="41" t="s">
        <v>9</v>
      </c>
      <c r="B6" s="11" t="s">
        <v>347</v>
      </c>
      <c r="C6" s="6" t="s">
        <v>4</v>
      </c>
      <c r="D6" s="29">
        <v>2</v>
      </c>
      <c r="E6" s="128">
        <v>1250</v>
      </c>
      <c r="F6" s="128">
        <v>0</v>
      </c>
      <c r="G6" s="128">
        <v>0</v>
      </c>
      <c r="H6" s="128">
        <f t="shared" si="0"/>
        <v>2219.4750000000004</v>
      </c>
      <c r="I6" s="129">
        <f t="shared" ref="I6:I18" si="1">H6*D6</f>
        <v>4438.9500000000007</v>
      </c>
    </row>
    <row r="7" spans="1:9" ht="12.75" customHeight="1">
      <c r="A7" s="41" t="s">
        <v>10</v>
      </c>
      <c r="B7" s="11" t="s">
        <v>192</v>
      </c>
      <c r="C7" s="6" t="s">
        <v>4</v>
      </c>
      <c r="D7" s="29">
        <v>40</v>
      </c>
      <c r="E7" s="128">
        <v>1000</v>
      </c>
      <c r="F7" s="128">
        <v>0</v>
      </c>
      <c r="G7" s="128">
        <v>0</v>
      </c>
      <c r="H7" s="128">
        <f t="shared" si="0"/>
        <v>1775.5800000000002</v>
      </c>
      <c r="I7" s="129">
        <f t="shared" si="1"/>
        <v>71023.200000000012</v>
      </c>
    </row>
    <row r="8" spans="1:9" ht="12.75" customHeight="1">
      <c r="A8" s="41" t="s">
        <v>54</v>
      </c>
      <c r="B8" s="11" t="s">
        <v>387</v>
      </c>
      <c r="C8" s="6" t="s">
        <v>4</v>
      </c>
      <c r="D8" s="29">
        <v>1</v>
      </c>
      <c r="E8" s="128">
        <v>2016.65</v>
      </c>
      <c r="F8" s="128">
        <v>0</v>
      </c>
      <c r="G8" s="128">
        <f>E8*0.3</f>
        <v>604.995</v>
      </c>
      <c r="H8" s="128">
        <f t="shared" si="0"/>
        <v>4654.9404291000001</v>
      </c>
      <c r="I8" s="129">
        <f t="shared" si="1"/>
        <v>4654.9404291000001</v>
      </c>
    </row>
    <row r="9" spans="1:9" ht="12.75" customHeight="1">
      <c r="A9" s="41" t="s">
        <v>15</v>
      </c>
      <c r="B9" s="11" t="s">
        <v>21</v>
      </c>
      <c r="C9" s="6" t="s">
        <v>4</v>
      </c>
      <c r="D9" s="29">
        <v>6</v>
      </c>
      <c r="E9" s="128">
        <v>2016.65</v>
      </c>
      <c r="F9" s="128">
        <v>0</v>
      </c>
      <c r="G9" s="128">
        <v>0</v>
      </c>
      <c r="H9" s="128">
        <f t="shared" si="0"/>
        <v>3580.7234070000004</v>
      </c>
      <c r="I9" s="129">
        <f t="shared" si="1"/>
        <v>21484.340442000001</v>
      </c>
    </row>
    <row r="10" spans="1:9">
      <c r="A10" s="41" t="s">
        <v>16</v>
      </c>
      <c r="B10" s="11" t="s">
        <v>373</v>
      </c>
      <c r="C10" s="6" t="s">
        <v>4</v>
      </c>
      <c r="D10" s="29">
        <v>1</v>
      </c>
      <c r="E10" s="128">
        <v>2016.65</v>
      </c>
      <c r="F10" s="128">
        <v>0</v>
      </c>
      <c r="G10" s="128">
        <f>E10*0.3</f>
        <v>604.995</v>
      </c>
      <c r="H10" s="128">
        <f t="shared" si="0"/>
        <v>4654.9404291000001</v>
      </c>
      <c r="I10" s="129">
        <f t="shared" si="1"/>
        <v>4654.9404291000001</v>
      </c>
    </row>
    <row r="11" spans="1:9" ht="12.75" customHeight="1">
      <c r="A11" s="41" t="s">
        <v>17</v>
      </c>
      <c r="B11" s="11" t="s">
        <v>57</v>
      </c>
      <c r="C11" s="6" t="s">
        <v>4</v>
      </c>
      <c r="D11" s="29">
        <v>1</v>
      </c>
      <c r="E11" s="128">
        <v>1500</v>
      </c>
      <c r="F11" s="128">
        <v>0</v>
      </c>
      <c r="G11" s="128">
        <v>0</v>
      </c>
      <c r="H11" s="128">
        <f t="shared" si="0"/>
        <v>2663.3700000000003</v>
      </c>
      <c r="I11" s="129">
        <f t="shared" si="1"/>
        <v>2663.3700000000003</v>
      </c>
    </row>
    <row r="12" spans="1:9" ht="12.75" customHeight="1">
      <c r="A12" s="41" t="s">
        <v>18</v>
      </c>
      <c r="B12" s="11" t="s">
        <v>374</v>
      </c>
      <c r="C12" s="6" t="s">
        <v>4</v>
      </c>
      <c r="D12" s="29">
        <v>2</v>
      </c>
      <c r="E12" s="128">
        <v>2049.96</v>
      </c>
      <c r="F12" s="128">
        <f>E12*0.2</f>
        <v>409.99200000000002</v>
      </c>
      <c r="G12" s="128">
        <v>0</v>
      </c>
      <c r="H12" s="128">
        <f t="shared" si="0"/>
        <v>4367.8415721600004</v>
      </c>
      <c r="I12" s="129">
        <f t="shared" si="1"/>
        <v>8735.6831443200008</v>
      </c>
    </row>
    <row r="13" spans="1:9">
      <c r="A13" s="41" t="s">
        <v>19</v>
      </c>
      <c r="B13" s="11" t="s">
        <v>375</v>
      </c>
      <c r="C13" s="6" t="s">
        <v>4</v>
      </c>
      <c r="D13" s="29">
        <v>1</v>
      </c>
      <c r="E13" s="128">
        <v>2655.4</v>
      </c>
      <c r="F13" s="128">
        <v>0</v>
      </c>
      <c r="G13" s="128">
        <f>E13*0.3</f>
        <v>796.62</v>
      </c>
      <c r="H13" s="128">
        <f t="shared" si="0"/>
        <v>6129.3376716000002</v>
      </c>
      <c r="I13" s="129">
        <f t="shared" si="1"/>
        <v>6129.3376716000002</v>
      </c>
    </row>
    <row r="14" spans="1:9" ht="12.75" customHeight="1">
      <c r="A14" s="41" t="s">
        <v>20</v>
      </c>
      <c r="B14" s="11" t="s">
        <v>377</v>
      </c>
      <c r="C14" s="6" t="s">
        <v>4</v>
      </c>
      <c r="D14" s="29">
        <v>1</v>
      </c>
      <c r="E14" s="128">
        <v>1000</v>
      </c>
      <c r="F14" s="128">
        <f>E14*0.2</f>
        <v>200</v>
      </c>
      <c r="G14" s="128">
        <v>0</v>
      </c>
      <c r="H14" s="128">
        <f t="shared" si="0"/>
        <v>2130.6960000000004</v>
      </c>
      <c r="I14" s="129">
        <f t="shared" si="1"/>
        <v>2130.6960000000004</v>
      </c>
    </row>
    <row r="15" spans="1:9" ht="12.75" customHeight="1">
      <c r="A15" s="41" t="s">
        <v>212</v>
      </c>
      <c r="B15" s="11" t="s">
        <v>55</v>
      </c>
      <c r="C15" s="6" t="s">
        <v>4</v>
      </c>
      <c r="D15" s="29">
        <v>1</v>
      </c>
      <c r="E15" s="128">
        <v>1000</v>
      </c>
      <c r="F15" s="128">
        <v>0</v>
      </c>
      <c r="G15" s="128">
        <f>E15*0.3</f>
        <v>300</v>
      </c>
      <c r="H15" s="128">
        <f t="shared" si="0"/>
        <v>2308.2540000000004</v>
      </c>
      <c r="I15" s="129">
        <f t="shared" si="1"/>
        <v>2308.2540000000004</v>
      </c>
    </row>
    <row r="16" spans="1:9" ht="12.75" customHeight="1">
      <c r="A16" s="41" t="s">
        <v>345</v>
      </c>
      <c r="B16" s="11" t="s">
        <v>512</v>
      </c>
      <c r="C16" s="6" t="s">
        <v>4</v>
      </c>
      <c r="D16" s="29">
        <v>2</v>
      </c>
      <c r="E16" s="128">
        <v>1500</v>
      </c>
      <c r="F16" s="128">
        <v>0</v>
      </c>
      <c r="G16" s="128">
        <v>0</v>
      </c>
      <c r="H16" s="128">
        <f t="shared" si="0"/>
        <v>2663.3700000000003</v>
      </c>
      <c r="I16" s="129">
        <f t="shared" si="1"/>
        <v>5326.7400000000007</v>
      </c>
    </row>
    <row r="17" spans="1:9" ht="12.75" customHeight="1">
      <c r="A17" s="41" t="s">
        <v>371</v>
      </c>
      <c r="B17" s="11" t="s">
        <v>14</v>
      </c>
      <c r="C17" s="6" t="s">
        <v>4</v>
      </c>
      <c r="D17" s="29">
        <v>3</v>
      </c>
      <c r="E17" s="128">
        <v>1103.98</v>
      </c>
      <c r="F17" s="128">
        <v>0</v>
      </c>
      <c r="G17" s="128">
        <v>0</v>
      </c>
      <c r="H17" s="128">
        <f t="shared" si="0"/>
        <v>1960.2048084000003</v>
      </c>
      <c r="I17" s="129">
        <f t="shared" si="1"/>
        <v>5880.6144252000013</v>
      </c>
    </row>
    <row r="18" spans="1:9" ht="12.75" customHeight="1">
      <c r="A18" s="41" t="s">
        <v>386</v>
      </c>
      <c r="B18" s="11" t="s">
        <v>56</v>
      </c>
      <c r="C18" s="6" t="s">
        <v>4</v>
      </c>
      <c r="D18" s="29">
        <v>4</v>
      </c>
      <c r="E18" s="128">
        <v>1000</v>
      </c>
      <c r="F18" s="128">
        <v>0</v>
      </c>
      <c r="G18" s="128">
        <v>0</v>
      </c>
      <c r="H18" s="128">
        <f t="shared" si="0"/>
        <v>1775.5800000000002</v>
      </c>
      <c r="I18" s="129">
        <f t="shared" si="1"/>
        <v>7102.3200000000006</v>
      </c>
    </row>
    <row r="19" spans="1:9">
      <c r="A19" s="41" t="s">
        <v>762</v>
      </c>
      <c r="B19" s="11" t="s">
        <v>766</v>
      </c>
      <c r="C19" s="6" t="s">
        <v>763</v>
      </c>
      <c r="D19" s="29">
        <f>4*3*D9</f>
        <v>72</v>
      </c>
      <c r="E19" s="130" t="s">
        <v>376</v>
      </c>
      <c r="F19" s="130" t="s">
        <v>376</v>
      </c>
      <c r="G19" s="130" t="s">
        <v>376</v>
      </c>
      <c r="H19" s="128">
        <f>H13*1.5/220</f>
        <v>41.790938670000003</v>
      </c>
      <c r="I19" s="129">
        <f>H19*D19</f>
        <v>3008.9475842400002</v>
      </c>
    </row>
    <row r="20" spans="1:9">
      <c r="A20" s="41" t="s">
        <v>764</v>
      </c>
      <c r="B20" s="11" t="s">
        <v>765</v>
      </c>
      <c r="C20" s="6" t="s">
        <v>763</v>
      </c>
      <c r="D20" s="29">
        <f>D19</f>
        <v>72</v>
      </c>
      <c r="E20" s="130" t="s">
        <v>376</v>
      </c>
      <c r="F20" s="130" t="s">
        <v>376</v>
      </c>
      <c r="G20" s="130" t="s">
        <v>376</v>
      </c>
      <c r="H20" s="128">
        <f>H9*1.5/220</f>
        <v>24.414023229545457</v>
      </c>
      <c r="I20" s="129">
        <f>H20*D20</f>
        <v>1757.8096725272728</v>
      </c>
    </row>
    <row r="21" spans="1:9" ht="12.75" customHeight="1">
      <c r="A21" s="46" t="s">
        <v>5</v>
      </c>
      <c r="B21" s="19" t="s">
        <v>469</v>
      </c>
      <c r="C21" s="19"/>
      <c r="D21" s="19"/>
      <c r="E21" s="131"/>
      <c r="F21" s="131"/>
      <c r="G21" s="131"/>
      <c r="H21" s="136"/>
      <c r="I21" s="137"/>
    </row>
    <row r="22" spans="1:9" ht="12.75" customHeight="1">
      <c r="A22" s="63" t="s">
        <v>6</v>
      </c>
      <c r="B22" s="11" t="s">
        <v>767</v>
      </c>
      <c r="C22" s="6" t="s">
        <v>4</v>
      </c>
      <c r="D22" s="29">
        <f>SUM(QTD_MO)</f>
        <v>68</v>
      </c>
      <c r="E22" s="130" t="s">
        <v>376</v>
      </c>
      <c r="F22" s="132" t="s">
        <v>376</v>
      </c>
      <c r="G22" s="132" t="s">
        <v>376</v>
      </c>
      <c r="H22" s="133">
        <v>6</v>
      </c>
      <c r="I22" s="134">
        <f>D22*H22</f>
        <v>408</v>
      </c>
    </row>
    <row r="23" spans="1:9">
      <c r="A23" s="63" t="s">
        <v>7</v>
      </c>
      <c r="B23" s="11" t="s">
        <v>819</v>
      </c>
      <c r="C23" s="6" t="s">
        <v>4</v>
      </c>
      <c r="D23" s="29">
        <f>SUM(QTD_MO)*22+4*4</f>
        <v>1512</v>
      </c>
      <c r="E23" s="130" t="s">
        <v>376</v>
      </c>
      <c r="F23" s="132" t="s">
        <v>376</v>
      </c>
      <c r="G23" s="132" t="s">
        <v>376</v>
      </c>
      <c r="H23" s="133">
        <v>13.19</v>
      </c>
      <c r="I23" s="134">
        <f>D23*H23</f>
        <v>19943.28</v>
      </c>
    </row>
    <row r="24" spans="1:9" ht="12.75" customHeight="1">
      <c r="A24" s="63" t="s">
        <v>728</v>
      </c>
      <c r="B24" s="11" t="s">
        <v>191</v>
      </c>
      <c r="C24" s="6" t="s">
        <v>4</v>
      </c>
      <c r="D24" s="29">
        <f>SUM(QTD_MO)*22*2</f>
        <v>2992</v>
      </c>
      <c r="E24" s="130" t="s">
        <v>376</v>
      </c>
      <c r="F24" s="132" t="s">
        <v>376</v>
      </c>
      <c r="G24" s="132" t="s">
        <v>376</v>
      </c>
      <c r="H24" s="133">
        <v>4.5</v>
      </c>
      <c r="I24" s="134">
        <f>D24*H24</f>
        <v>13464</v>
      </c>
    </row>
    <row r="25" spans="1:9" ht="12.75" customHeight="1">
      <c r="A25" s="63" t="s">
        <v>817</v>
      </c>
      <c r="B25" s="11" t="s">
        <v>818</v>
      </c>
      <c r="C25" s="6" t="s">
        <v>4</v>
      </c>
      <c r="D25" s="29">
        <f>SUM(QTD_MO)*22*2</f>
        <v>2992</v>
      </c>
      <c r="E25" s="130" t="s">
        <v>376</v>
      </c>
      <c r="F25" s="132" t="s">
        <v>376</v>
      </c>
      <c r="G25" s="132" t="s">
        <v>376</v>
      </c>
      <c r="H25" s="133" t="s">
        <v>376</v>
      </c>
      <c r="I25" s="135">
        <f>SUMPRODUCT(QTD_MO,E5:E18)*-0.06</f>
        <v>-4932.0276000000003</v>
      </c>
    </row>
    <row r="26" spans="1:9" s="8" customFormat="1" ht="26.25" customHeight="1" thickBot="1">
      <c r="A26" s="99" t="s">
        <v>465</v>
      </c>
      <c r="B26" s="100"/>
      <c r="C26" s="100"/>
      <c r="D26" s="100"/>
      <c r="E26" s="100"/>
      <c r="F26" s="100"/>
      <c r="G26" s="100"/>
      <c r="H26" s="100"/>
      <c r="I26" s="62">
        <f>SUM(I5:I25)</f>
        <v>185510.13619808728</v>
      </c>
    </row>
  </sheetData>
  <sortState ref="B22:I24">
    <sortCondition ref="B22:B24"/>
  </sortState>
  <mergeCells count="8">
    <mergeCell ref="A26:H26"/>
    <mergeCell ref="A1:I1"/>
    <mergeCell ref="A2:B3"/>
    <mergeCell ref="C2:C3"/>
    <mergeCell ref="D2:D3"/>
    <mergeCell ref="E2:G2"/>
    <mergeCell ref="H2:H3"/>
    <mergeCell ref="I2:I3"/>
  </mergeCells>
  <printOptions horizontalCentered="1"/>
  <pageMargins left="0.51181102362204722" right="0.51181102362204722" top="1.1811023622047245" bottom="0.78740157480314965" header="0.31496062992125984" footer="0.31496062992125984"/>
  <pageSetup paperSize="9" scale="88" fitToHeight="0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J13"/>
  <sheetViews>
    <sheetView view="pageBreakPreview" zoomScaleNormal="100" zoomScaleSheetLayoutView="100" workbookViewId="0">
      <selection activeCell="H9" sqref="A1:H9"/>
    </sheetView>
  </sheetViews>
  <sheetFormatPr defaultColWidth="9.140625" defaultRowHeight="15"/>
  <cols>
    <col min="1" max="1" width="6.5703125" style="3" customWidth="1"/>
    <col min="2" max="2" width="78" style="18" customWidth="1"/>
    <col min="3" max="3" width="5.5703125" style="18" customWidth="1"/>
    <col min="4" max="5" width="9.7109375" style="23" customWidth="1"/>
    <col min="6" max="6" width="14.28515625" style="24" customWidth="1"/>
    <col min="7" max="7" width="14.140625" style="24" customWidth="1"/>
    <col min="8" max="8" width="14.42578125" style="18" customWidth="1"/>
    <col min="9" max="9" width="12.140625" style="18" bestFit="1" customWidth="1"/>
    <col min="10" max="10" width="24" style="18" customWidth="1"/>
    <col min="11" max="16384" width="9.140625" style="18"/>
  </cols>
  <sheetData>
    <row r="1" spans="1:10" ht="35.25" customHeight="1">
      <c r="A1" s="94" t="s">
        <v>592</v>
      </c>
      <c r="B1" s="95"/>
      <c r="C1" s="95"/>
      <c r="D1" s="95"/>
      <c r="E1" s="95"/>
      <c r="F1" s="95"/>
      <c r="G1" s="95"/>
      <c r="H1" s="96"/>
    </row>
    <row r="2" spans="1:10" ht="21.75" customHeight="1">
      <c r="A2" s="97" t="s">
        <v>3</v>
      </c>
      <c r="B2" s="98"/>
      <c r="C2" s="98" t="s">
        <v>0</v>
      </c>
      <c r="D2" s="101" t="s">
        <v>973</v>
      </c>
      <c r="E2" s="101" t="s">
        <v>974</v>
      </c>
      <c r="F2" s="103" t="s">
        <v>12</v>
      </c>
      <c r="G2" s="102" t="s">
        <v>975</v>
      </c>
      <c r="H2" s="104" t="s">
        <v>976</v>
      </c>
    </row>
    <row r="3" spans="1:10">
      <c r="A3" s="97"/>
      <c r="B3" s="98"/>
      <c r="C3" s="98"/>
      <c r="D3" s="101"/>
      <c r="E3" s="101"/>
      <c r="F3" s="103"/>
      <c r="G3" s="102"/>
      <c r="H3" s="104"/>
    </row>
    <row r="4" spans="1:10">
      <c r="A4" s="46" t="s">
        <v>521</v>
      </c>
      <c r="B4" s="19" t="s">
        <v>593</v>
      </c>
      <c r="C4" s="19"/>
      <c r="D4" s="19"/>
      <c r="E4" s="19"/>
      <c r="F4" s="20"/>
      <c r="G4" s="20"/>
      <c r="H4" s="61"/>
    </row>
    <row r="5" spans="1:10" ht="45">
      <c r="A5" s="41" t="s">
        <v>522</v>
      </c>
      <c r="B5" s="11" t="s">
        <v>594</v>
      </c>
      <c r="C5" s="6" t="s">
        <v>4</v>
      </c>
      <c r="D5" s="29">
        <f>SUM('Mão de obra'!QTD_MO)*1.5</f>
        <v>102</v>
      </c>
      <c r="E5" s="29">
        <f>SUM('Mão de obra'!QTD_MO)*0.5</f>
        <v>34</v>
      </c>
      <c r="F5" s="128">
        <f>28.5+55+65+20+81+9+40+120</f>
        <v>418.5</v>
      </c>
      <c r="G5" s="128">
        <f>F5*D5</f>
        <v>42687</v>
      </c>
      <c r="H5" s="129">
        <f>F5*E5</f>
        <v>14229</v>
      </c>
      <c r="I5" s="79"/>
    </row>
    <row r="6" spans="1:10" ht="45">
      <c r="A6" s="41" t="s">
        <v>523</v>
      </c>
      <c r="B6" s="11" t="s">
        <v>595</v>
      </c>
      <c r="C6" s="6" t="s">
        <v>4</v>
      </c>
      <c r="D6" s="29">
        <f>SUM('Mão de obra'!QTD_MO)*1.5</f>
        <v>102</v>
      </c>
      <c r="E6" s="29">
        <f>SUM('Mão de obra'!QTD_MO)*0.5</f>
        <v>34</v>
      </c>
      <c r="F6" s="128">
        <f>28.5+55+65+20+81+9+40+120</f>
        <v>418.5</v>
      </c>
      <c r="G6" s="128">
        <f t="shared" ref="G6:G8" si="0">F6*D6</f>
        <v>42687</v>
      </c>
      <c r="H6" s="129">
        <f t="shared" ref="H6:H8" si="1">F6*E6</f>
        <v>14229</v>
      </c>
      <c r="I6" s="77"/>
    </row>
    <row r="7" spans="1:10" ht="45">
      <c r="A7" s="41" t="s">
        <v>524</v>
      </c>
      <c r="B7" s="11" t="s">
        <v>596</v>
      </c>
      <c r="C7" s="6" t="s">
        <v>4</v>
      </c>
      <c r="D7" s="29">
        <f>SUM('Mão de obra'!QTD_MO)*1</f>
        <v>68</v>
      </c>
      <c r="E7" s="29">
        <f>SUM('Mão de obra'!QTD_MO)*1</f>
        <v>68</v>
      </c>
      <c r="F7" s="128">
        <f>28.5+55+65+20+81+9+40+120</f>
        <v>418.5</v>
      </c>
      <c r="G7" s="128">
        <f t="shared" si="0"/>
        <v>28458</v>
      </c>
      <c r="H7" s="129">
        <f t="shared" si="1"/>
        <v>28458</v>
      </c>
      <c r="I7" s="77"/>
    </row>
    <row r="8" spans="1:10" ht="45">
      <c r="A8" s="41" t="s">
        <v>525</v>
      </c>
      <c r="B8" s="11" t="s">
        <v>637</v>
      </c>
      <c r="C8" s="6" t="s">
        <v>467</v>
      </c>
      <c r="D8" s="29">
        <v>12</v>
      </c>
      <c r="E8" s="29">
        <v>12</v>
      </c>
      <c r="F8" s="128">
        <f>(4447+4002+4224+4002+3557+2224+2700)/12</f>
        <v>2096.3333333333335</v>
      </c>
      <c r="G8" s="128">
        <f t="shared" si="0"/>
        <v>25156</v>
      </c>
      <c r="H8" s="129">
        <f t="shared" si="1"/>
        <v>25156</v>
      </c>
      <c r="I8" s="77"/>
    </row>
    <row r="9" spans="1:10" s="8" customFormat="1" ht="26.25" customHeight="1" thickBot="1">
      <c r="A9" s="99" t="s">
        <v>409</v>
      </c>
      <c r="B9" s="100"/>
      <c r="C9" s="100"/>
      <c r="D9" s="100"/>
      <c r="E9" s="100"/>
      <c r="F9" s="100"/>
      <c r="G9" s="138">
        <f>SUM(G5:G8)</f>
        <v>138988</v>
      </c>
      <c r="H9" s="139">
        <f>SUM(H5:H8)</f>
        <v>82072</v>
      </c>
      <c r="I9" s="78"/>
      <c r="J9" s="80"/>
    </row>
    <row r="10" spans="1:10">
      <c r="I10" s="77"/>
      <c r="J10" s="77"/>
    </row>
    <row r="11" spans="1:10">
      <c r="I11" s="77"/>
    </row>
    <row r="12" spans="1:10">
      <c r="I12" s="77"/>
      <c r="J12" s="77"/>
    </row>
    <row r="13" spans="1:10">
      <c r="I13" s="77"/>
    </row>
  </sheetData>
  <sortState ref="B5:F8">
    <sortCondition ref="B5:B8"/>
  </sortState>
  <mergeCells count="9">
    <mergeCell ref="H2:H3"/>
    <mergeCell ref="A1:H1"/>
    <mergeCell ref="A9:F9"/>
    <mergeCell ref="G2:G3"/>
    <mergeCell ref="F2:F3"/>
    <mergeCell ref="A2:B3"/>
    <mergeCell ref="C2:C3"/>
    <mergeCell ref="D2:D3"/>
    <mergeCell ref="E2:E3"/>
  </mergeCells>
  <printOptions horizontalCentered="1"/>
  <pageMargins left="0.51181102362204722" right="0.51181102362204722" top="1.1811023622047245" bottom="0.78740157480314965" header="0.31496062992125984" footer="0.31496062992125984"/>
  <pageSetup paperSize="9" scale="89" fitToHeight="0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34"/>
  <sheetViews>
    <sheetView view="pageBreakPreview" zoomScaleNormal="100" zoomScaleSheetLayoutView="100" workbookViewId="0">
      <selection activeCell="C34" sqref="A1:C34"/>
    </sheetView>
  </sheetViews>
  <sheetFormatPr defaultColWidth="9.140625" defaultRowHeight="15"/>
  <cols>
    <col min="1" max="1" width="6.5703125" style="1" customWidth="1"/>
    <col min="2" max="2" width="71.140625" style="18" customWidth="1"/>
    <col min="3" max="3" width="12.85546875" style="53" bestFit="1" customWidth="1"/>
    <col min="4" max="4" width="9.140625" style="18"/>
    <col min="5" max="5" width="12.140625" style="18" bestFit="1" customWidth="1"/>
    <col min="6" max="6" width="24" style="18" customWidth="1"/>
    <col min="7" max="16384" width="9.140625" style="18"/>
  </cols>
  <sheetData>
    <row r="1" spans="1:3" ht="31.5" customHeight="1">
      <c r="A1" s="94" t="s">
        <v>37</v>
      </c>
      <c r="B1" s="95"/>
      <c r="C1" s="96"/>
    </row>
    <row r="2" spans="1:3" ht="15" customHeight="1">
      <c r="A2" s="65" t="s">
        <v>397</v>
      </c>
      <c r="B2" s="66" t="s">
        <v>3</v>
      </c>
      <c r="C2" s="49" t="s">
        <v>28</v>
      </c>
    </row>
    <row r="3" spans="1:3">
      <c r="A3" s="46"/>
      <c r="B3" s="2" t="s">
        <v>22</v>
      </c>
      <c r="C3" s="50">
        <f>SUM(C4:C11)</f>
        <v>0.39800000000000008</v>
      </c>
    </row>
    <row r="4" spans="1:3" s="21" customFormat="1">
      <c r="A4" s="47" t="s">
        <v>29</v>
      </c>
      <c r="B4" s="11" t="s">
        <v>426</v>
      </c>
      <c r="C4" s="54">
        <v>0.2</v>
      </c>
    </row>
    <row r="5" spans="1:3" s="21" customFormat="1">
      <c r="A5" s="47" t="s">
        <v>30</v>
      </c>
      <c r="B5" s="11" t="s">
        <v>427</v>
      </c>
      <c r="C5" s="54">
        <v>0.08</v>
      </c>
    </row>
    <row r="6" spans="1:3" s="21" customFormat="1">
      <c r="A6" s="47" t="s">
        <v>31</v>
      </c>
      <c r="B6" s="11" t="s">
        <v>429</v>
      </c>
      <c r="C6" s="54">
        <v>1.4999999999999999E-2</v>
      </c>
    </row>
    <row r="7" spans="1:3" s="21" customFormat="1">
      <c r="A7" s="47" t="s">
        <v>32</v>
      </c>
      <c r="B7" s="11" t="s">
        <v>428</v>
      </c>
      <c r="C7" s="54">
        <v>0.01</v>
      </c>
    </row>
    <row r="8" spans="1:3" s="21" customFormat="1">
      <c r="A8" s="47" t="s">
        <v>33</v>
      </c>
      <c r="B8" s="11" t="s">
        <v>39</v>
      </c>
      <c r="C8" s="54">
        <v>2E-3</v>
      </c>
    </row>
    <row r="9" spans="1:3" s="21" customFormat="1">
      <c r="A9" s="47" t="s">
        <v>34</v>
      </c>
      <c r="B9" s="11" t="s">
        <v>38</v>
      </c>
      <c r="C9" s="54">
        <v>6.0000000000000001E-3</v>
      </c>
    </row>
    <row r="10" spans="1:3" s="21" customFormat="1">
      <c r="A10" s="47" t="s">
        <v>35</v>
      </c>
      <c r="B10" s="11" t="s">
        <v>408</v>
      </c>
      <c r="C10" s="54">
        <v>2.5000000000000001E-2</v>
      </c>
    </row>
    <row r="11" spans="1:3" s="21" customFormat="1">
      <c r="A11" s="47" t="s">
        <v>36</v>
      </c>
      <c r="B11" s="11" t="s">
        <v>430</v>
      </c>
      <c r="C11" s="54">
        <v>0.06</v>
      </c>
    </row>
    <row r="12" spans="1:3" s="21" customFormat="1">
      <c r="A12" s="46"/>
      <c r="B12" s="2" t="s">
        <v>23</v>
      </c>
      <c r="C12" s="50">
        <f>SUM(C13:C20)</f>
        <v>0.23482</v>
      </c>
    </row>
    <row r="13" spans="1:3" s="21" customFormat="1">
      <c r="A13" s="47" t="s">
        <v>414</v>
      </c>
      <c r="B13" s="11" t="s">
        <v>42</v>
      </c>
      <c r="C13" s="54">
        <v>8.3330000000000001E-2</v>
      </c>
    </row>
    <row r="14" spans="1:3" s="21" customFormat="1">
      <c r="A14" s="47" t="s">
        <v>415</v>
      </c>
      <c r="B14" s="11" t="s">
        <v>431</v>
      </c>
      <c r="C14" s="54">
        <v>0.11111</v>
      </c>
    </row>
    <row r="15" spans="1:3" s="21" customFormat="1">
      <c r="A15" s="47" t="s">
        <v>416</v>
      </c>
      <c r="B15" s="11" t="s">
        <v>41</v>
      </c>
      <c r="C15" s="54">
        <v>1.9439999999999999E-2</v>
      </c>
    </row>
    <row r="16" spans="1:3" s="21" customFormat="1">
      <c r="A16" s="47" t="s">
        <v>417</v>
      </c>
      <c r="B16" s="11" t="s">
        <v>434</v>
      </c>
      <c r="C16" s="54">
        <v>1.389E-2</v>
      </c>
    </row>
    <row r="17" spans="1:3" s="21" customFormat="1">
      <c r="A17" s="47" t="s">
        <v>418</v>
      </c>
      <c r="B17" s="11" t="s">
        <v>432</v>
      </c>
      <c r="C17" s="54">
        <v>3.3300000000000001E-3</v>
      </c>
    </row>
    <row r="18" spans="1:3" s="21" customFormat="1">
      <c r="A18" s="47" t="s">
        <v>419</v>
      </c>
      <c r="B18" s="11" t="s">
        <v>40</v>
      </c>
      <c r="C18" s="54">
        <v>2.7699999999999999E-3</v>
      </c>
    </row>
    <row r="19" spans="1:3" s="21" customFormat="1">
      <c r="A19" s="47" t="s">
        <v>420</v>
      </c>
      <c r="B19" s="11" t="s">
        <v>433</v>
      </c>
      <c r="C19" s="54">
        <v>7.3999999999999999E-4</v>
      </c>
    </row>
    <row r="20" spans="1:3" s="21" customFormat="1">
      <c r="A20" s="47" t="s">
        <v>421</v>
      </c>
      <c r="B20" s="11" t="s">
        <v>435</v>
      </c>
      <c r="C20" s="54">
        <v>2.1000000000000001E-4</v>
      </c>
    </row>
    <row r="21" spans="1:3" s="21" customFormat="1">
      <c r="A21" s="46"/>
      <c r="B21" s="2" t="s">
        <v>24</v>
      </c>
      <c r="C21" s="50">
        <f>SUM(C22:C25)</f>
        <v>4.5839999999999999E-2</v>
      </c>
    </row>
    <row r="22" spans="1:3" s="21" customFormat="1">
      <c r="A22" s="47" t="s">
        <v>410</v>
      </c>
      <c r="B22" s="11" t="s">
        <v>43</v>
      </c>
      <c r="C22" s="54">
        <v>4.1700000000000001E-3</v>
      </c>
    </row>
    <row r="23" spans="1:3" s="21" customFormat="1">
      <c r="A23" s="47" t="s">
        <v>411</v>
      </c>
      <c r="B23" s="11" t="s">
        <v>44</v>
      </c>
      <c r="C23" s="54">
        <v>1.67E-3</v>
      </c>
    </row>
    <row r="24" spans="1:3" s="21" customFormat="1">
      <c r="A24" s="47" t="s">
        <v>412</v>
      </c>
      <c r="B24" s="11" t="s">
        <v>436</v>
      </c>
      <c r="C24" s="54">
        <v>3.2000000000000001E-2</v>
      </c>
    </row>
    <row r="25" spans="1:3" s="21" customFormat="1">
      <c r="A25" s="47" t="s">
        <v>413</v>
      </c>
      <c r="B25" s="11" t="s">
        <v>437</v>
      </c>
      <c r="C25" s="54">
        <v>8.0000000000000002E-3</v>
      </c>
    </row>
    <row r="26" spans="1:3" s="21" customFormat="1">
      <c r="A26" s="46"/>
      <c r="B26" s="2" t="s">
        <v>25</v>
      </c>
      <c r="C26" s="50">
        <f>SUM(C27:C27)</f>
        <v>9.3460000000000001E-2</v>
      </c>
    </row>
    <row r="27" spans="1:3" s="21" customFormat="1">
      <c r="A27" s="47" t="s">
        <v>422</v>
      </c>
      <c r="B27" s="11" t="s">
        <v>438</v>
      </c>
      <c r="C27" s="54">
        <v>9.3460000000000001E-2</v>
      </c>
    </row>
    <row r="28" spans="1:3" s="21" customFormat="1">
      <c r="A28" s="46"/>
      <c r="B28" s="2" t="s">
        <v>26</v>
      </c>
      <c r="C28" s="50">
        <f>SUM(C29:C30)</f>
        <v>5.9000000000000003E-4</v>
      </c>
    </row>
    <row r="29" spans="1:3" s="21" customFormat="1">
      <c r="A29" s="47" t="s">
        <v>423</v>
      </c>
      <c r="B29" s="11" t="s">
        <v>439</v>
      </c>
      <c r="C29" s="54">
        <v>3.3E-4</v>
      </c>
    </row>
    <row r="30" spans="1:3" s="21" customFormat="1" ht="30">
      <c r="A30" s="47" t="s">
        <v>424</v>
      </c>
      <c r="B30" s="11" t="s">
        <v>440</v>
      </c>
      <c r="C30" s="54">
        <v>2.5999999999999998E-4</v>
      </c>
    </row>
    <row r="31" spans="1:3" s="21" customFormat="1">
      <c r="A31" s="46"/>
      <c r="B31" s="2" t="s">
        <v>27</v>
      </c>
      <c r="C31" s="50">
        <f>C32</f>
        <v>2.8700000000000002E-3</v>
      </c>
    </row>
    <row r="32" spans="1:3" s="21" customFormat="1" ht="30">
      <c r="A32" s="47" t="s">
        <v>425</v>
      </c>
      <c r="B32" s="11" t="s">
        <v>441</v>
      </c>
      <c r="C32" s="54">
        <v>2.8700000000000002E-3</v>
      </c>
    </row>
    <row r="33" spans="1:3" s="21" customFormat="1">
      <c r="A33" s="48"/>
      <c r="B33" s="31"/>
      <c r="C33" s="51"/>
    </row>
    <row r="34" spans="1:3" s="8" customFormat="1" ht="24.75" customHeight="1" thickBot="1">
      <c r="A34" s="99" t="s">
        <v>591</v>
      </c>
      <c r="B34" s="100"/>
      <c r="C34" s="52">
        <f>C3+C12+C21+C26+C28+C31</f>
        <v>0.77558000000000005</v>
      </c>
    </row>
  </sheetData>
  <mergeCells count="2">
    <mergeCell ref="A1:C1"/>
    <mergeCell ref="A34:B34"/>
  </mergeCells>
  <printOptions horizontalCentered="1"/>
  <pageMargins left="0.51181102362204722" right="0.51181102362204722" top="1.1811023622047245" bottom="0.78740157480314965" header="0.31496062992125984" footer="0.31496062992125984"/>
  <pageSetup paperSize="9" fitToHeight="0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35"/>
  <sheetViews>
    <sheetView view="pageBreakPreview" zoomScale="85" zoomScaleNormal="100" zoomScaleSheetLayoutView="85" workbookViewId="0">
      <selection activeCell="D2" sqref="D2"/>
    </sheetView>
  </sheetViews>
  <sheetFormatPr defaultColWidth="9.140625" defaultRowHeight="15"/>
  <cols>
    <col min="1" max="1" width="6.5703125" style="3" customWidth="1"/>
    <col min="2" max="2" width="57.7109375" style="18" customWidth="1"/>
    <col min="3" max="3" width="5.5703125" style="18" customWidth="1"/>
    <col min="4" max="5" width="17.28515625" style="23" customWidth="1"/>
    <col min="6" max="8" width="17.28515625" style="23" hidden="1" customWidth="1"/>
    <col min="9" max="9" width="18.140625" style="24" customWidth="1"/>
    <col min="10" max="11" width="20" style="24" customWidth="1"/>
    <col min="12" max="12" width="9.140625" style="18"/>
    <col min="13" max="13" width="12.140625" style="18" bestFit="1" customWidth="1"/>
    <col min="14" max="14" width="24" style="18" customWidth="1"/>
    <col min="15" max="16384" width="9.140625" style="18"/>
  </cols>
  <sheetData>
    <row r="1" spans="1:11" ht="31.5" customHeight="1">
      <c r="A1" s="142" t="s">
        <v>451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8.5" customHeight="1">
      <c r="A2" s="98" t="s">
        <v>3</v>
      </c>
      <c r="B2" s="98"/>
      <c r="C2" s="88" t="s">
        <v>0</v>
      </c>
      <c r="D2" s="89" t="s">
        <v>513</v>
      </c>
      <c r="E2" s="71" t="s">
        <v>514</v>
      </c>
      <c r="F2" s="15" t="s">
        <v>50</v>
      </c>
      <c r="G2" s="16" t="s">
        <v>51</v>
      </c>
      <c r="H2" s="17" t="s">
        <v>52</v>
      </c>
      <c r="I2" s="90" t="s">
        <v>979</v>
      </c>
      <c r="J2" s="90" t="s">
        <v>980</v>
      </c>
      <c r="K2" s="71" t="s">
        <v>981</v>
      </c>
    </row>
    <row r="3" spans="1:11" ht="12.75" customHeight="1">
      <c r="A3" s="2" t="s">
        <v>214</v>
      </c>
      <c r="B3" s="19" t="s">
        <v>198</v>
      </c>
      <c r="C3" s="19"/>
      <c r="D3" s="19"/>
      <c r="E3" s="19"/>
      <c r="F3" s="19"/>
      <c r="G3" s="19"/>
      <c r="H3" s="19"/>
      <c r="I3" s="20"/>
      <c r="J3" s="70"/>
      <c r="K3" s="70"/>
    </row>
    <row r="4" spans="1:11" ht="45">
      <c r="A4" s="143" t="s">
        <v>215</v>
      </c>
      <c r="B4" s="11" t="s">
        <v>405</v>
      </c>
      <c r="C4" s="6" t="s">
        <v>4</v>
      </c>
      <c r="D4" s="29">
        <v>1</v>
      </c>
      <c r="E4" s="29">
        <f t="shared" ref="E4:E12" si="0">D4</f>
        <v>1</v>
      </c>
      <c r="F4" s="30">
        <v>60.9</v>
      </c>
      <c r="G4" s="30">
        <v>99.9</v>
      </c>
      <c r="H4" s="30">
        <v>75.900000000000006</v>
      </c>
      <c r="I4" s="128">
        <f t="shared" ref="I4:I12" si="1">ROUND(AVERAGE(F4,G4,H4),2)</f>
        <v>78.900000000000006</v>
      </c>
      <c r="J4" s="128">
        <f t="shared" ref="J4:J12" si="2">I4*D4</f>
        <v>78.900000000000006</v>
      </c>
      <c r="K4" s="128">
        <f t="shared" ref="K4:K12" si="3">I4*E4</f>
        <v>78.900000000000006</v>
      </c>
    </row>
    <row r="5" spans="1:11" ht="30">
      <c r="A5" s="143" t="s">
        <v>216</v>
      </c>
      <c r="B5" s="11" t="s">
        <v>404</v>
      </c>
      <c r="C5" s="6" t="s">
        <v>211</v>
      </c>
      <c r="D5" s="29">
        <v>2</v>
      </c>
      <c r="E5" s="29">
        <f t="shared" si="0"/>
        <v>2</v>
      </c>
      <c r="F5" s="30">
        <v>88.9</v>
      </c>
      <c r="G5" s="30">
        <v>65.010000000000005</v>
      </c>
      <c r="H5" s="30"/>
      <c r="I5" s="128">
        <f t="shared" si="1"/>
        <v>76.959999999999994</v>
      </c>
      <c r="J5" s="128">
        <f t="shared" si="2"/>
        <v>153.91999999999999</v>
      </c>
      <c r="K5" s="128">
        <f t="shared" si="3"/>
        <v>153.91999999999999</v>
      </c>
    </row>
    <row r="6" spans="1:11" ht="45">
      <c r="A6" s="143" t="s">
        <v>217</v>
      </c>
      <c r="B6" s="11" t="s">
        <v>349</v>
      </c>
      <c r="C6" s="6" t="s">
        <v>211</v>
      </c>
      <c r="D6" s="29">
        <v>141</v>
      </c>
      <c r="E6" s="29">
        <f t="shared" si="0"/>
        <v>141</v>
      </c>
      <c r="F6" s="30">
        <v>79.900000000000006</v>
      </c>
      <c r="G6" s="30"/>
      <c r="H6" s="30"/>
      <c r="I6" s="128">
        <f t="shared" si="1"/>
        <v>79.900000000000006</v>
      </c>
      <c r="J6" s="128">
        <f t="shared" si="2"/>
        <v>11265.900000000001</v>
      </c>
      <c r="K6" s="128">
        <f t="shared" si="3"/>
        <v>11265.900000000001</v>
      </c>
    </row>
    <row r="7" spans="1:11" ht="45">
      <c r="A7" s="143" t="s">
        <v>218</v>
      </c>
      <c r="B7" s="11" t="s">
        <v>350</v>
      </c>
      <c r="C7" s="6" t="s">
        <v>211</v>
      </c>
      <c r="D7" s="29">
        <v>12</v>
      </c>
      <c r="E7" s="29">
        <f t="shared" si="0"/>
        <v>12</v>
      </c>
      <c r="F7" s="30">
        <f>99.9+43.77</f>
        <v>143.67000000000002</v>
      </c>
      <c r="G7" s="30"/>
      <c r="H7" s="30"/>
      <c r="I7" s="128">
        <f t="shared" si="1"/>
        <v>143.66999999999999</v>
      </c>
      <c r="J7" s="128">
        <f t="shared" si="2"/>
        <v>1724.04</v>
      </c>
      <c r="K7" s="128">
        <f t="shared" si="3"/>
        <v>1724.04</v>
      </c>
    </row>
    <row r="8" spans="1:11" ht="30">
      <c r="A8" s="143" t="s">
        <v>219</v>
      </c>
      <c r="B8" s="11" t="s">
        <v>348</v>
      </c>
      <c r="C8" s="6" t="s">
        <v>211</v>
      </c>
      <c r="D8" s="29">
        <v>9</v>
      </c>
      <c r="E8" s="29">
        <f t="shared" si="0"/>
        <v>9</v>
      </c>
      <c r="F8" s="30">
        <v>105</v>
      </c>
      <c r="G8" s="30"/>
      <c r="H8" s="30"/>
      <c r="I8" s="128">
        <f t="shared" si="1"/>
        <v>105</v>
      </c>
      <c r="J8" s="128">
        <f t="shared" si="2"/>
        <v>945</v>
      </c>
      <c r="K8" s="128">
        <f t="shared" si="3"/>
        <v>945</v>
      </c>
    </row>
    <row r="9" spans="1:11" ht="30">
      <c r="A9" s="143" t="s">
        <v>220</v>
      </c>
      <c r="B9" s="11" t="s">
        <v>407</v>
      </c>
      <c r="C9" s="6" t="s">
        <v>211</v>
      </c>
      <c r="D9" s="29">
        <v>24</v>
      </c>
      <c r="E9" s="29">
        <f t="shared" si="0"/>
        <v>24</v>
      </c>
      <c r="F9" s="30">
        <f>51+24.9</f>
        <v>75.900000000000006</v>
      </c>
      <c r="G9" s="30"/>
      <c r="H9" s="30"/>
      <c r="I9" s="128">
        <f t="shared" si="1"/>
        <v>75.900000000000006</v>
      </c>
      <c r="J9" s="128">
        <f t="shared" si="2"/>
        <v>1821.6000000000001</v>
      </c>
      <c r="K9" s="128">
        <f t="shared" si="3"/>
        <v>1821.6000000000001</v>
      </c>
    </row>
    <row r="10" spans="1:11" ht="45">
      <c r="A10" s="143" t="s">
        <v>221</v>
      </c>
      <c r="B10" s="11" t="s">
        <v>406</v>
      </c>
      <c r="C10" s="6" t="s">
        <v>211</v>
      </c>
      <c r="D10" s="29">
        <v>3</v>
      </c>
      <c r="E10" s="29">
        <f t="shared" si="0"/>
        <v>3</v>
      </c>
      <c r="F10" s="30">
        <f>60.9+64.9</f>
        <v>125.80000000000001</v>
      </c>
      <c r="G10" s="30"/>
      <c r="H10" s="30"/>
      <c r="I10" s="128">
        <f t="shared" si="1"/>
        <v>125.8</v>
      </c>
      <c r="J10" s="128">
        <f t="shared" si="2"/>
        <v>377.4</v>
      </c>
      <c r="K10" s="128">
        <f t="shared" si="3"/>
        <v>377.4</v>
      </c>
    </row>
    <row r="11" spans="1:11" ht="30">
      <c r="A11" s="143" t="s">
        <v>222</v>
      </c>
      <c r="B11" s="11" t="s">
        <v>403</v>
      </c>
      <c r="C11" s="6" t="s">
        <v>211</v>
      </c>
      <c r="D11" s="29">
        <v>6</v>
      </c>
      <c r="E11" s="29">
        <f t="shared" si="0"/>
        <v>6</v>
      </c>
      <c r="F11" s="30">
        <v>112</v>
      </c>
      <c r="G11" s="30"/>
      <c r="H11" s="30"/>
      <c r="I11" s="128">
        <f t="shared" si="1"/>
        <v>112</v>
      </c>
      <c r="J11" s="128">
        <f t="shared" si="2"/>
        <v>672</v>
      </c>
      <c r="K11" s="128">
        <f t="shared" si="3"/>
        <v>672</v>
      </c>
    </row>
    <row r="12" spans="1:11" ht="45">
      <c r="A12" s="143" t="s">
        <v>223</v>
      </c>
      <c r="B12" s="11" t="s">
        <v>351</v>
      </c>
      <c r="C12" s="6" t="s">
        <v>211</v>
      </c>
      <c r="D12" s="29">
        <v>3</v>
      </c>
      <c r="E12" s="29">
        <f t="shared" si="0"/>
        <v>3</v>
      </c>
      <c r="F12" s="30">
        <v>180</v>
      </c>
      <c r="G12" s="30"/>
      <c r="H12" s="30"/>
      <c r="I12" s="128">
        <f t="shared" si="1"/>
        <v>180</v>
      </c>
      <c r="J12" s="128">
        <f t="shared" si="2"/>
        <v>540</v>
      </c>
      <c r="K12" s="128">
        <f t="shared" si="3"/>
        <v>540</v>
      </c>
    </row>
    <row r="13" spans="1:11">
      <c r="A13" s="2" t="s">
        <v>224</v>
      </c>
      <c r="B13" s="19" t="s">
        <v>199</v>
      </c>
      <c r="C13" s="19"/>
      <c r="D13" s="26"/>
      <c r="E13" s="26"/>
      <c r="F13" s="28"/>
      <c r="G13" s="28"/>
      <c r="H13" s="28"/>
      <c r="I13" s="140"/>
      <c r="J13" s="140"/>
      <c r="K13" s="140"/>
    </row>
    <row r="14" spans="1:11" ht="30">
      <c r="A14" s="143" t="s">
        <v>225</v>
      </c>
      <c r="B14" s="11" t="s">
        <v>202</v>
      </c>
      <c r="C14" s="6" t="s">
        <v>4</v>
      </c>
      <c r="D14" s="29">
        <v>25</v>
      </c>
      <c r="E14" s="29">
        <v>25</v>
      </c>
      <c r="F14" s="30">
        <v>27.5</v>
      </c>
      <c r="G14" s="30">
        <v>25.44</v>
      </c>
      <c r="H14" s="30">
        <v>24.43</v>
      </c>
      <c r="I14" s="128">
        <f t="shared" ref="I14:I34" si="4">ROUND(AVERAGE(F14,G14,H14),2)</f>
        <v>25.79</v>
      </c>
      <c r="J14" s="128">
        <f t="shared" ref="J14:J34" si="5">I14*D14</f>
        <v>644.75</v>
      </c>
      <c r="K14" s="128">
        <f t="shared" ref="K14:K34" si="6">I14*E14</f>
        <v>644.75</v>
      </c>
    </row>
    <row r="15" spans="1:11" ht="30">
      <c r="A15" s="143" t="s">
        <v>226</v>
      </c>
      <c r="B15" s="11" t="s">
        <v>203</v>
      </c>
      <c r="C15" s="6" t="s">
        <v>4</v>
      </c>
      <c r="D15" s="29">
        <v>25</v>
      </c>
      <c r="E15" s="29">
        <v>25</v>
      </c>
      <c r="F15" s="30">
        <v>37.49</v>
      </c>
      <c r="G15" s="30">
        <v>32.21</v>
      </c>
      <c r="H15" s="30">
        <v>37.49</v>
      </c>
      <c r="I15" s="128">
        <f t="shared" si="4"/>
        <v>35.729999999999997</v>
      </c>
      <c r="J15" s="128">
        <f t="shared" si="5"/>
        <v>893.24999999999989</v>
      </c>
      <c r="K15" s="128">
        <f t="shared" si="6"/>
        <v>893.24999999999989</v>
      </c>
    </row>
    <row r="16" spans="1:11" ht="30">
      <c r="A16" s="143" t="s">
        <v>227</v>
      </c>
      <c r="B16" s="11" t="s">
        <v>205</v>
      </c>
      <c r="C16" s="6" t="s">
        <v>4</v>
      </c>
      <c r="D16" s="29">
        <v>15</v>
      </c>
      <c r="E16" s="29">
        <v>15</v>
      </c>
      <c r="F16" s="30">
        <v>115.69</v>
      </c>
      <c r="G16" s="30">
        <v>99.9</v>
      </c>
      <c r="H16" s="30"/>
      <c r="I16" s="128">
        <f t="shared" si="4"/>
        <v>107.8</v>
      </c>
      <c r="J16" s="128">
        <f t="shared" si="5"/>
        <v>1617</v>
      </c>
      <c r="K16" s="128">
        <f t="shared" si="6"/>
        <v>1617</v>
      </c>
    </row>
    <row r="17" spans="1:11" ht="30">
      <c r="A17" s="143" t="s">
        <v>862</v>
      </c>
      <c r="B17" s="11" t="s">
        <v>402</v>
      </c>
      <c r="C17" s="6" t="s">
        <v>4</v>
      </c>
      <c r="D17" s="29">
        <v>2</v>
      </c>
      <c r="E17" s="29">
        <v>2</v>
      </c>
      <c r="F17" s="30">
        <v>189</v>
      </c>
      <c r="G17" s="30"/>
      <c r="H17" s="30"/>
      <c r="I17" s="128">
        <f t="shared" si="4"/>
        <v>189</v>
      </c>
      <c r="J17" s="128">
        <f t="shared" si="5"/>
        <v>378</v>
      </c>
      <c r="K17" s="128">
        <f t="shared" si="6"/>
        <v>378</v>
      </c>
    </row>
    <row r="18" spans="1:11">
      <c r="A18" s="143" t="s">
        <v>863</v>
      </c>
      <c r="B18" s="11" t="s">
        <v>208</v>
      </c>
      <c r="C18" s="6" t="s">
        <v>4</v>
      </c>
      <c r="D18" s="29">
        <v>30</v>
      </c>
      <c r="E18" s="29">
        <v>30</v>
      </c>
      <c r="F18" s="30">
        <v>15.25</v>
      </c>
      <c r="G18" s="30"/>
      <c r="H18" s="30"/>
      <c r="I18" s="128">
        <f t="shared" si="4"/>
        <v>15.25</v>
      </c>
      <c r="J18" s="128">
        <f t="shared" si="5"/>
        <v>457.5</v>
      </c>
      <c r="K18" s="128">
        <f t="shared" si="6"/>
        <v>457.5</v>
      </c>
    </row>
    <row r="19" spans="1:11">
      <c r="A19" s="143" t="s">
        <v>228</v>
      </c>
      <c r="B19" s="11" t="s">
        <v>195</v>
      </c>
      <c r="C19" s="6" t="s">
        <v>4</v>
      </c>
      <c r="D19" s="29">
        <f>20*4</f>
        <v>80</v>
      </c>
      <c r="E19" s="29">
        <v>80</v>
      </c>
      <c r="F19" s="30">
        <v>11.44</v>
      </c>
      <c r="G19" s="30"/>
      <c r="H19" s="30"/>
      <c r="I19" s="128">
        <f t="shared" si="4"/>
        <v>11.44</v>
      </c>
      <c r="J19" s="128">
        <f t="shared" si="5"/>
        <v>915.19999999999993</v>
      </c>
      <c r="K19" s="128">
        <f t="shared" si="6"/>
        <v>915.19999999999993</v>
      </c>
    </row>
    <row r="20" spans="1:11" ht="30">
      <c r="A20" s="143" t="s">
        <v>229</v>
      </c>
      <c r="B20" s="11" t="s">
        <v>207</v>
      </c>
      <c r="C20" s="6" t="s">
        <v>77</v>
      </c>
      <c r="D20" s="29">
        <v>6</v>
      </c>
      <c r="E20" s="29">
        <v>6</v>
      </c>
      <c r="F20" s="30">
        <v>19.420000000000002</v>
      </c>
      <c r="G20" s="30">
        <v>29.61</v>
      </c>
      <c r="H20" s="30">
        <v>16.5</v>
      </c>
      <c r="I20" s="128">
        <f t="shared" si="4"/>
        <v>21.84</v>
      </c>
      <c r="J20" s="128">
        <f t="shared" si="5"/>
        <v>131.04</v>
      </c>
      <c r="K20" s="128">
        <f t="shared" si="6"/>
        <v>131.04</v>
      </c>
    </row>
    <row r="21" spans="1:11">
      <c r="A21" s="143" t="s">
        <v>230</v>
      </c>
      <c r="B21" s="11" t="s">
        <v>401</v>
      </c>
      <c r="C21" s="6" t="s">
        <v>4</v>
      </c>
      <c r="D21" s="29">
        <f>60</f>
        <v>60</v>
      </c>
      <c r="E21" s="29">
        <f>60</f>
        <v>60</v>
      </c>
      <c r="F21" s="30">
        <v>20.56</v>
      </c>
      <c r="G21" s="30"/>
      <c r="H21" s="30"/>
      <c r="I21" s="128">
        <f t="shared" si="4"/>
        <v>20.56</v>
      </c>
      <c r="J21" s="128">
        <f t="shared" si="5"/>
        <v>1233.5999999999999</v>
      </c>
      <c r="K21" s="128">
        <f t="shared" si="6"/>
        <v>1233.5999999999999</v>
      </c>
    </row>
    <row r="22" spans="1:11" ht="30">
      <c r="A22" s="143" t="s">
        <v>231</v>
      </c>
      <c r="B22" s="11" t="s">
        <v>197</v>
      </c>
      <c r="C22" s="6" t="s">
        <v>77</v>
      </c>
      <c r="D22" s="29">
        <v>10</v>
      </c>
      <c r="E22" s="29">
        <v>10</v>
      </c>
      <c r="F22" s="30">
        <v>87</v>
      </c>
      <c r="G22" s="30">
        <v>99</v>
      </c>
      <c r="H22" s="30">
        <v>95</v>
      </c>
      <c r="I22" s="128">
        <f t="shared" si="4"/>
        <v>93.67</v>
      </c>
      <c r="J22" s="128">
        <f t="shared" si="5"/>
        <v>936.7</v>
      </c>
      <c r="K22" s="128">
        <f t="shared" si="6"/>
        <v>936.7</v>
      </c>
    </row>
    <row r="23" spans="1:11" ht="30">
      <c r="A23" s="143" t="s">
        <v>232</v>
      </c>
      <c r="B23" s="11" t="s">
        <v>756</v>
      </c>
      <c r="C23" s="6" t="s">
        <v>77</v>
      </c>
      <c r="D23" s="29">
        <v>3</v>
      </c>
      <c r="E23" s="29">
        <v>3</v>
      </c>
      <c r="F23" s="30">
        <v>125</v>
      </c>
      <c r="G23" s="30">
        <v>100</v>
      </c>
      <c r="H23" s="30">
        <v>110</v>
      </c>
      <c r="I23" s="128">
        <f t="shared" si="4"/>
        <v>111.67</v>
      </c>
      <c r="J23" s="128">
        <f t="shared" si="5"/>
        <v>335.01</v>
      </c>
      <c r="K23" s="128">
        <f t="shared" si="6"/>
        <v>335.01</v>
      </c>
    </row>
    <row r="24" spans="1:11" ht="45">
      <c r="A24" s="143" t="s">
        <v>233</v>
      </c>
      <c r="B24" s="11" t="s">
        <v>193</v>
      </c>
      <c r="C24" s="6" t="s">
        <v>4</v>
      </c>
      <c r="D24" s="29">
        <v>50</v>
      </c>
      <c r="E24" s="29">
        <v>50</v>
      </c>
      <c r="F24" s="30">
        <v>5.69</v>
      </c>
      <c r="G24" s="30"/>
      <c r="H24" s="30"/>
      <c r="I24" s="128">
        <f t="shared" si="4"/>
        <v>5.69</v>
      </c>
      <c r="J24" s="128">
        <f t="shared" si="5"/>
        <v>284.5</v>
      </c>
      <c r="K24" s="128">
        <f t="shared" si="6"/>
        <v>284.5</v>
      </c>
    </row>
    <row r="25" spans="1:11" ht="30">
      <c r="A25" s="143" t="s">
        <v>234</v>
      </c>
      <c r="B25" s="11" t="s">
        <v>201</v>
      </c>
      <c r="C25" s="6" t="s">
        <v>77</v>
      </c>
      <c r="D25" s="29">
        <v>12</v>
      </c>
      <c r="E25" s="29">
        <v>12</v>
      </c>
      <c r="F25" s="30">
        <v>21.21</v>
      </c>
      <c r="G25" s="30">
        <v>30</v>
      </c>
      <c r="H25" s="30"/>
      <c r="I25" s="128">
        <f t="shared" si="4"/>
        <v>25.61</v>
      </c>
      <c r="J25" s="128">
        <f t="shared" si="5"/>
        <v>307.32</v>
      </c>
      <c r="K25" s="128">
        <f t="shared" si="6"/>
        <v>307.32</v>
      </c>
    </row>
    <row r="26" spans="1:11" ht="45">
      <c r="A26" s="143" t="s">
        <v>257</v>
      </c>
      <c r="B26" s="11" t="s">
        <v>400</v>
      </c>
      <c r="C26" s="6" t="s">
        <v>77</v>
      </c>
      <c r="D26" s="29">
        <v>12</v>
      </c>
      <c r="E26" s="29">
        <v>12</v>
      </c>
      <c r="F26" s="30">
        <f>26.28*144/12</f>
        <v>315.36</v>
      </c>
      <c r="G26" s="30"/>
      <c r="H26" s="30"/>
      <c r="I26" s="128">
        <f t="shared" si="4"/>
        <v>315.36</v>
      </c>
      <c r="J26" s="128">
        <f t="shared" si="5"/>
        <v>3784.32</v>
      </c>
      <c r="K26" s="128">
        <f t="shared" si="6"/>
        <v>3784.32</v>
      </c>
    </row>
    <row r="27" spans="1:11">
      <c r="A27" s="143" t="s">
        <v>864</v>
      </c>
      <c r="B27" s="11" t="s">
        <v>804</v>
      </c>
      <c r="C27" s="6" t="s">
        <v>210</v>
      </c>
      <c r="D27" s="29">
        <v>30</v>
      </c>
      <c r="E27" s="29">
        <v>30</v>
      </c>
      <c r="F27" s="30">
        <v>2.8</v>
      </c>
      <c r="G27" s="30">
        <v>2.93</v>
      </c>
      <c r="H27" s="30">
        <v>2.99</v>
      </c>
      <c r="I27" s="128">
        <f t="shared" si="4"/>
        <v>2.91</v>
      </c>
      <c r="J27" s="128">
        <f t="shared" si="5"/>
        <v>87.300000000000011</v>
      </c>
      <c r="K27" s="128">
        <f t="shared" si="6"/>
        <v>87.300000000000011</v>
      </c>
    </row>
    <row r="28" spans="1:11">
      <c r="A28" s="143" t="s">
        <v>599</v>
      </c>
      <c r="B28" s="11" t="s">
        <v>209</v>
      </c>
      <c r="C28" s="6" t="s">
        <v>210</v>
      </c>
      <c r="D28" s="29">
        <v>12</v>
      </c>
      <c r="E28" s="29">
        <v>6</v>
      </c>
      <c r="F28" s="30">
        <v>115.03</v>
      </c>
      <c r="G28" s="30">
        <v>147.1</v>
      </c>
      <c r="H28" s="30">
        <v>140</v>
      </c>
      <c r="I28" s="128">
        <f t="shared" si="4"/>
        <v>134.04</v>
      </c>
      <c r="J28" s="128">
        <f t="shared" si="5"/>
        <v>1608.48</v>
      </c>
      <c r="K28" s="128">
        <f t="shared" si="6"/>
        <v>804.24</v>
      </c>
    </row>
    <row r="29" spans="1:11" ht="30">
      <c r="A29" s="143" t="s">
        <v>600</v>
      </c>
      <c r="B29" s="11" t="s">
        <v>449</v>
      </c>
      <c r="C29" s="6" t="s">
        <v>210</v>
      </c>
      <c r="D29" s="29">
        <v>15</v>
      </c>
      <c r="E29" s="29">
        <v>15</v>
      </c>
      <c r="F29" s="30">
        <v>21.9</v>
      </c>
      <c r="G29" s="30">
        <v>15.21</v>
      </c>
      <c r="H29" s="30">
        <v>22</v>
      </c>
      <c r="I29" s="128">
        <f t="shared" si="4"/>
        <v>19.7</v>
      </c>
      <c r="J29" s="128">
        <f t="shared" si="5"/>
        <v>295.5</v>
      </c>
      <c r="K29" s="128">
        <f t="shared" si="6"/>
        <v>295.5</v>
      </c>
    </row>
    <row r="30" spans="1:11" ht="30">
      <c r="A30" s="143" t="s">
        <v>601</v>
      </c>
      <c r="B30" s="11" t="s">
        <v>399</v>
      </c>
      <c r="C30" s="6" t="s">
        <v>210</v>
      </c>
      <c r="D30" s="29">
        <v>20</v>
      </c>
      <c r="E30" s="29">
        <v>20</v>
      </c>
      <c r="F30" s="30">
        <v>17.989999999999998</v>
      </c>
      <c r="G30" s="30">
        <v>15</v>
      </c>
      <c r="H30" s="30">
        <v>13.9</v>
      </c>
      <c r="I30" s="128">
        <f t="shared" si="4"/>
        <v>15.63</v>
      </c>
      <c r="J30" s="128">
        <f t="shared" si="5"/>
        <v>312.60000000000002</v>
      </c>
      <c r="K30" s="128">
        <f t="shared" si="6"/>
        <v>312.60000000000002</v>
      </c>
    </row>
    <row r="31" spans="1:11">
      <c r="A31" s="143" t="s">
        <v>602</v>
      </c>
      <c r="B31" s="11" t="s">
        <v>196</v>
      </c>
      <c r="C31" s="6" t="s">
        <v>4</v>
      </c>
      <c r="D31" s="29">
        <v>16</v>
      </c>
      <c r="E31" s="29">
        <v>16</v>
      </c>
      <c r="F31" s="30">
        <v>418</v>
      </c>
      <c r="G31" s="30">
        <v>236.26</v>
      </c>
      <c r="H31" s="30">
        <v>375.99</v>
      </c>
      <c r="I31" s="128">
        <f t="shared" si="4"/>
        <v>343.42</v>
      </c>
      <c r="J31" s="128">
        <f t="shared" si="5"/>
        <v>5494.72</v>
      </c>
      <c r="K31" s="128">
        <f t="shared" si="6"/>
        <v>5494.72</v>
      </c>
    </row>
    <row r="32" spans="1:11" ht="45">
      <c r="A32" s="143" t="s">
        <v>603</v>
      </c>
      <c r="B32" s="11" t="s">
        <v>204</v>
      </c>
      <c r="C32" s="6" t="s">
        <v>4</v>
      </c>
      <c r="D32" s="29">
        <f>80*2</f>
        <v>160</v>
      </c>
      <c r="E32" s="29">
        <f>80*2</f>
        <v>160</v>
      </c>
      <c r="F32" s="30">
        <v>74.900000000000006</v>
      </c>
      <c r="G32" s="30">
        <v>65</v>
      </c>
      <c r="H32" s="30"/>
      <c r="I32" s="128">
        <f t="shared" si="4"/>
        <v>69.95</v>
      </c>
      <c r="J32" s="128">
        <f t="shared" si="5"/>
        <v>11192</v>
      </c>
      <c r="K32" s="128">
        <f t="shared" si="6"/>
        <v>11192</v>
      </c>
    </row>
    <row r="33" spans="1:11" ht="30">
      <c r="A33" s="143" t="s">
        <v>604</v>
      </c>
      <c r="B33" s="11" t="s">
        <v>194</v>
      </c>
      <c r="C33" s="6" t="s">
        <v>4</v>
      </c>
      <c r="D33" s="29">
        <v>100</v>
      </c>
      <c r="E33" s="29">
        <v>100</v>
      </c>
      <c r="F33" s="30">
        <v>7.55</v>
      </c>
      <c r="G33" s="30">
        <v>8.11</v>
      </c>
      <c r="H33" s="30"/>
      <c r="I33" s="128">
        <f t="shared" si="4"/>
        <v>7.83</v>
      </c>
      <c r="J33" s="128">
        <f t="shared" si="5"/>
        <v>783</v>
      </c>
      <c r="K33" s="128">
        <f t="shared" si="6"/>
        <v>783</v>
      </c>
    </row>
    <row r="34" spans="1:11">
      <c r="A34" s="143" t="s">
        <v>605</v>
      </c>
      <c r="B34" s="11" t="s">
        <v>206</v>
      </c>
      <c r="C34" s="6" t="s">
        <v>77</v>
      </c>
      <c r="D34" s="29">
        <v>4</v>
      </c>
      <c r="E34" s="29">
        <v>4</v>
      </c>
      <c r="F34" s="30">
        <v>8.74</v>
      </c>
      <c r="G34" s="30">
        <v>6.2</v>
      </c>
      <c r="H34" s="30"/>
      <c r="I34" s="128">
        <f t="shared" si="4"/>
        <v>7.47</v>
      </c>
      <c r="J34" s="128">
        <f t="shared" si="5"/>
        <v>29.88</v>
      </c>
      <c r="K34" s="128">
        <f t="shared" si="6"/>
        <v>29.88</v>
      </c>
    </row>
    <row r="35" spans="1:11" s="8" customFormat="1" ht="26.25" customHeight="1">
      <c r="A35" s="144" t="s">
        <v>409</v>
      </c>
      <c r="B35" s="144"/>
      <c r="C35" s="144"/>
      <c r="D35" s="144"/>
      <c r="E35" s="144"/>
      <c r="F35" s="144"/>
      <c r="G35" s="144"/>
      <c r="H35" s="144"/>
      <c r="I35" s="144"/>
      <c r="J35" s="145">
        <f>SUM(J3:J34)</f>
        <v>49300.429999999993</v>
      </c>
      <c r="K35" s="145">
        <f>SUM(K3:K34)</f>
        <v>48496.189999999995</v>
      </c>
    </row>
  </sheetData>
  <sortState ref="B14:K58">
    <sortCondition ref="B14:B58"/>
  </sortState>
  <mergeCells count="3">
    <mergeCell ref="A2:B2"/>
    <mergeCell ref="A35:I35"/>
    <mergeCell ref="A1:K1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6" fitToHeight="0" orientation="portrait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00"/>
  <sheetViews>
    <sheetView view="pageBreakPreview" zoomScale="85" zoomScaleNormal="100" zoomScaleSheetLayoutView="85" workbookViewId="0">
      <selection activeCell="I4" sqref="I4"/>
    </sheetView>
  </sheetViews>
  <sheetFormatPr defaultColWidth="9.140625" defaultRowHeight="15"/>
  <cols>
    <col min="1" max="1" width="6.5703125" style="3" customWidth="1"/>
    <col min="2" max="2" width="56.42578125" style="7" customWidth="1"/>
    <col min="3" max="3" width="5.5703125" style="36" customWidth="1"/>
    <col min="4" max="5" width="17.85546875" style="23" customWidth="1"/>
    <col min="6" max="8" width="17.28515625" style="38" hidden="1" customWidth="1"/>
    <col min="9" max="9" width="18.140625" style="24" customWidth="1"/>
    <col min="10" max="11" width="19" style="25" customWidth="1"/>
    <col min="12" max="12" width="9.140625" style="18"/>
    <col min="13" max="13" width="12.140625" style="18" bestFit="1" customWidth="1"/>
    <col min="14" max="14" width="24" style="18" customWidth="1"/>
    <col min="15" max="16384" width="9.140625" style="18"/>
  </cols>
  <sheetData>
    <row r="1" spans="1:11" ht="18.75">
      <c r="A1" s="107" t="s">
        <v>453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</row>
    <row r="2" spans="1:11" ht="30">
      <c r="A2" s="97" t="s">
        <v>3</v>
      </c>
      <c r="B2" s="98"/>
      <c r="C2" s="67" t="s">
        <v>0</v>
      </c>
      <c r="D2" s="68" t="s">
        <v>513</v>
      </c>
      <c r="E2" s="71" t="s">
        <v>514</v>
      </c>
      <c r="F2" s="15" t="s">
        <v>50</v>
      </c>
      <c r="G2" s="16" t="s">
        <v>51</v>
      </c>
      <c r="H2" s="17" t="s">
        <v>52</v>
      </c>
      <c r="I2" s="69" t="s">
        <v>979</v>
      </c>
      <c r="J2" s="69" t="s">
        <v>980</v>
      </c>
      <c r="K2" s="71" t="s">
        <v>981</v>
      </c>
    </row>
    <row r="3" spans="1:11">
      <c r="A3" s="46" t="s">
        <v>235</v>
      </c>
      <c r="B3" s="4" t="s">
        <v>141</v>
      </c>
      <c r="C3" s="35"/>
      <c r="D3" s="19"/>
      <c r="E3" s="19"/>
      <c r="F3" s="37"/>
      <c r="G3" s="37"/>
      <c r="H3" s="37"/>
      <c r="I3" s="33"/>
      <c r="J3" s="32"/>
      <c r="K3" s="60"/>
    </row>
    <row r="4" spans="1:11" ht="60">
      <c r="A4" s="58" t="s">
        <v>236</v>
      </c>
      <c r="B4" s="11" t="s">
        <v>125</v>
      </c>
      <c r="C4" s="12" t="s">
        <v>85</v>
      </c>
      <c r="D4" s="12">
        <v>16</v>
      </c>
      <c r="E4" s="12">
        <v>2</v>
      </c>
      <c r="F4" s="146">
        <v>25.33</v>
      </c>
      <c r="G4" s="146">
        <v>20.43</v>
      </c>
      <c r="H4" s="146">
        <v>20.99</v>
      </c>
      <c r="I4" s="146">
        <f t="shared" ref="I4:I17" si="0">ROUND(AVERAGE(F4,G4,H4),2)</f>
        <v>22.25</v>
      </c>
      <c r="J4" s="146">
        <f t="shared" ref="J4:J17" si="1">I4*D4</f>
        <v>356</v>
      </c>
      <c r="K4" s="146">
        <f t="shared" ref="K4:K17" si="2">I4*E4</f>
        <v>44.5</v>
      </c>
    </row>
    <row r="5" spans="1:11" ht="45">
      <c r="A5" s="58" t="s">
        <v>237</v>
      </c>
      <c r="B5" s="11" t="s">
        <v>126</v>
      </c>
      <c r="C5" s="12" t="s">
        <v>85</v>
      </c>
      <c r="D5" s="12">
        <v>16</v>
      </c>
      <c r="E5" s="12">
        <v>2</v>
      </c>
      <c r="F5" s="146">
        <v>62.27</v>
      </c>
      <c r="G5" s="146">
        <v>72.5</v>
      </c>
      <c r="H5" s="146">
        <v>73.150000000000006</v>
      </c>
      <c r="I5" s="146">
        <f t="shared" si="0"/>
        <v>69.31</v>
      </c>
      <c r="J5" s="146">
        <f t="shared" si="1"/>
        <v>1108.96</v>
      </c>
      <c r="K5" s="146">
        <f t="shared" si="2"/>
        <v>138.62</v>
      </c>
    </row>
    <row r="6" spans="1:11" ht="75">
      <c r="A6" s="58" t="s">
        <v>238</v>
      </c>
      <c r="B6" s="11" t="s">
        <v>150</v>
      </c>
      <c r="C6" s="12" t="s">
        <v>4</v>
      </c>
      <c r="D6" s="12">
        <v>16</v>
      </c>
      <c r="E6" s="12">
        <v>2</v>
      </c>
      <c r="F6" s="146">
        <v>267</v>
      </c>
      <c r="G6" s="146">
        <v>249</v>
      </c>
      <c r="H6" s="146">
        <v>267</v>
      </c>
      <c r="I6" s="146">
        <f t="shared" si="0"/>
        <v>261</v>
      </c>
      <c r="J6" s="146">
        <f t="shared" si="1"/>
        <v>4176</v>
      </c>
      <c r="K6" s="146">
        <f t="shared" si="2"/>
        <v>522</v>
      </c>
    </row>
    <row r="7" spans="1:11" ht="120">
      <c r="A7" s="58" t="s">
        <v>239</v>
      </c>
      <c r="B7" s="11" t="s">
        <v>148</v>
      </c>
      <c r="C7" s="12" t="s">
        <v>4</v>
      </c>
      <c r="D7" s="12">
        <v>25</v>
      </c>
      <c r="E7" s="12">
        <v>2</v>
      </c>
      <c r="F7" s="146">
        <v>1425</v>
      </c>
      <c r="G7" s="146">
        <v>1200</v>
      </c>
      <c r="H7" s="146">
        <v>1087.17</v>
      </c>
      <c r="I7" s="146">
        <f t="shared" si="0"/>
        <v>1237.3900000000001</v>
      </c>
      <c r="J7" s="146">
        <f t="shared" si="1"/>
        <v>30934.750000000004</v>
      </c>
      <c r="K7" s="146">
        <f t="shared" si="2"/>
        <v>2474.7800000000002</v>
      </c>
    </row>
    <row r="8" spans="1:11" ht="135">
      <c r="A8" s="58" t="s">
        <v>240</v>
      </c>
      <c r="B8" s="11" t="s">
        <v>149</v>
      </c>
      <c r="C8" s="12" t="s">
        <v>4</v>
      </c>
      <c r="D8" s="12">
        <v>20</v>
      </c>
      <c r="E8" s="12">
        <v>2</v>
      </c>
      <c r="F8" s="146">
        <v>501.6</v>
      </c>
      <c r="G8" s="146">
        <v>600</v>
      </c>
      <c r="H8" s="146">
        <v>516.88</v>
      </c>
      <c r="I8" s="146">
        <f t="shared" si="0"/>
        <v>539.49</v>
      </c>
      <c r="J8" s="146">
        <f t="shared" si="1"/>
        <v>10789.8</v>
      </c>
      <c r="K8" s="146">
        <f t="shared" si="2"/>
        <v>1078.98</v>
      </c>
    </row>
    <row r="9" spans="1:11" ht="30">
      <c r="A9" s="58" t="s">
        <v>241</v>
      </c>
      <c r="B9" s="11" t="s">
        <v>71</v>
      </c>
      <c r="C9" s="12" t="s">
        <v>4</v>
      </c>
      <c r="D9" s="12">
        <v>30</v>
      </c>
      <c r="E9" s="12">
        <v>30</v>
      </c>
      <c r="F9" s="146">
        <v>3.9</v>
      </c>
      <c r="G9" s="146">
        <v>2.79</v>
      </c>
      <c r="H9" s="146"/>
      <c r="I9" s="146">
        <f t="shared" si="0"/>
        <v>3.35</v>
      </c>
      <c r="J9" s="146">
        <f t="shared" si="1"/>
        <v>100.5</v>
      </c>
      <c r="K9" s="146">
        <f t="shared" si="2"/>
        <v>100.5</v>
      </c>
    </row>
    <row r="10" spans="1:11" ht="30">
      <c r="A10" s="58" t="s">
        <v>242</v>
      </c>
      <c r="B10" s="11" t="s">
        <v>70</v>
      </c>
      <c r="C10" s="12" t="s">
        <v>4</v>
      </c>
      <c r="D10" s="12">
        <v>20</v>
      </c>
      <c r="E10" s="12">
        <v>20</v>
      </c>
      <c r="F10" s="146">
        <v>13.22</v>
      </c>
      <c r="G10" s="146">
        <v>17.399999999999999</v>
      </c>
      <c r="H10" s="146">
        <v>19.989999999999998</v>
      </c>
      <c r="I10" s="146">
        <f t="shared" si="0"/>
        <v>16.87</v>
      </c>
      <c r="J10" s="146">
        <f t="shared" si="1"/>
        <v>337.40000000000003</v>
      </c>
      <c r="K10" s="146">
        <f t="shared" si="2"/>
        <v>337.40000000000003</v>
      </c>
    </row>
    <row r="11" spans="1:11" ht="45">
      <c r="A11" s="58" t="s">
        <v>243</v>
      </c>
      <c r="B11" s="11" t="s">
        <v>68</v>
      </c>
      <c r="C11" s="12" t="s">
        <v>4</v>
      </c>
      <c r="D11" s="12">
        <v>5</v>
      </c>
      <c r="E11" s="12">
        <v>1</v>
      </c>
      <c r="F11" s="146">
        <v>125.5</v>
      </c>
      <c r="G11" s="146">
        <v>99.89</v>
      </c>
      <c r="H11" s="146">
        <v>107.99</v>
      </c>
      <c r="I11" s="146">
        <f t="shared" si="0"/>
        <v>111.13</v>
      </c>
      <c r="J11" s="146">
        <f t="shared" si="1"/>
        <v>555.65</v>
      </c>
      <c r="K11" s="146">
        <f t="shared" si="2"/>
        <v>111.13</v>
      </c>
    </row>
    <row r="12" spans="1:11" ht="45">
      <c r="A12" s="58" t="s">
        <v>526</v>
      </c>
      <c r="B12" s="11" t="s">
        <v>67</v>
      </c>
      <c r="C12" s="12" t="s">
        <v>4</v>
      </c>
      <c r="D12" s="12">
        <v>2</v>
      </c>
      <c r="E12" s="12">
        <v>1</v>
      </c>
      <c r="F12" s="146">
        <v>88.31</v>
      </c>
      <c r="G12" s="146">
        <v>73.319999999999993</v>
      </c>
      <c r="H12" s="146">
        <v>90.49</v>
      </c>
      <c r="I12" s="146">
        <f t="shared" si="0"/>
        <v>84.04</v>
      </c>
      <c r="J12" s="146">
        <f t="shared" si="1"/>
        <v>168.08</v>
      </c>
      <c r="K12" s="146">
        <f t="shared" si="2"/>
        <v>84.04</v>
      </c>
    </row>
    <row r="13" spans="1:11">
      <c r="A13" s="58" t="s">
        <v>527</v>
      </c>
      <c r="B13" s="11" t="s">
        <v>69</v>
      </c>
      <c r="C13" s="12" t="s">
        <v>65</v>
      </c>
      <c r="D13" s="12">
        <v>500</v>
      </c>
      <c r="E13" s="12">
        <v>150</v>
      </c>
      <c r="F13" s="146">
        <v>6.26</v>
      </c>
      <c r="G13" s="146">
        <v>3.2</v>
      </c>
      <c r="H13" s="146"/>
      <c r="I13" s="146">
        <f t="shared" si="0"/>
        <v>4.7300000000000004</v>
      </c>
      <c r="J13" s="146">
        <f t="shared" si="1"/>
        <v>2365</v>
      </c>
      <c r="K13" s="146">
        <f t="shared" si="2"/>
        <v>709.50000000000011</v>
      </c>
    </row>
    <row r="14" spans="1:11" ht="30">
      <c r="A14" s="58" t="s">
        <v>528</v>
      </c>
      <c r="B14" s="11" t="s">
        <v>129</v>
      </c>
      <c r="C14" s="12" t="s">
        <v>4</v>
      </c>
      <c r="D14" s="12">
        <v>6</v>
      </c>
      <c r="E14" s="12">
        <v>2</v>
      </c>
      <c r="F14" s="146">
        <v>47.17</v>
      </c>
      <c r="G14" s="146">
        <v>33.9</v>
      </c>
      <c r="H14" s="146">
        <v>39.9</v>
      </c>
      <c r="I14" s="146">
        <f t="shared" si="0"/>
        <v>40.32</v>
      </c>
      <c r="J14" s="146">
        <f t="shared" si="1"/>
        <v>241.92000000000002</v>
      </c>
      <c r="K14" s="146">
        <f t="shared" si="2"/>
        <v>80.64</v>
      </c>
    </row>
    <row r="15" spans="1:11" ht="30">
      <c r="A15" s="58" t="s">
        <v>529</v>
      </c>
      <c r="B15" s="11" t="s">
        <v>130</v>
      </c>
      <c r="C15" s="12" t="s">
        <v>4</v>
      </c>
      <c r="D15" s="12">
        <v>10</v>
      </c>
      <c r="E15" s="12">
        <v>2</v>
      </c>
      <c r="F15" s="146">
        <v>47.15</v>
      </c>
      <c r="G15" s="146">
        <v>39.9</v>
      </c>
      <c r="H15" s="146">
        <v>44</v>
      </c>
      <c r="I15" s="146">
        <f t="shared" si="0"/>
        <v>43.68</v>
      </c>
      <c r="J15" s="146">
        <f t="shared" si="1"/>
        <v>436.8</v>
      </c>
      <c r="K15" s="146">
        <f t="shared" si="2"/>
        <v>87.36</v>
      </c>
    </row>
    <row r="16" spans="1:11" ht="30">
      <c r="A16" s="58" t="s">
        <v>530</v>
      </c>
      <c r="B16" s="11" t="s">
        <v>128</v>
      </c>
      <c r="C16" s="12" t="s">
        <v>4</v>
      </c>
      <c r="D16" s="12">
        <v>6</v>
      </c>
      <c r="E16" s="12">
        <v>2</v>
      </c>
      <c r="F16" s="146">
        <v>26.91</v>
      </c>
      <c r="G16" s="146">
        <v>39.9</v>
      </c>
      <c r="H16" s="146">
        <v>29.9</v>
      </c>
      <c r="I16" s="146">
        <f t="shared" si="0"/>
        <v>32.24</v>
      </c>
      <c r="J16" s="146">
        <f t="shared" si="1"/>
        <v>193.44</v>
      </c>
      <c r="K16" s="146">
        <f t="shared" si="2"/>
        <v>64.48</v>
      </c>
    </row>
    <row r="17" spans="1:11" ht="30">
      <c r="A17" s="58" t="s">
        <v>531</v>
      </c>
      <c r="B17" s="11" t="s">
        <v>475</v>
      </c>
      <c r="C17" s="12" t="s">
        <v>4</v>
      </c>
      <c r="D17" s="12">
        <v>10</v>
      </c>
      <c r="E17" s="12">
        <v>2</v>
      </c>
      <c r="F17" s="146">
        <v>45.74</v>
      </c>
      <c r="G17" s="146">
        <v>50</v>
      </c>
      <c r="H17" s="146">
        <v>41.61</v>
      </c>
      <c r="I17" s="146">
        <f t="shared" si="0"/>
        <v>45.78</v>
      </c>
      <c r="J17" s="146">
        <f t="shared" si="1"/>
        <v>457.8</v>
      </c>
      <c r="K17" s="146">
        <f t="shared" si="2"/>
        <v>91.56</v>
      </c>
    </row>
    <row r="18" spans="1:11">
      <c r="A18" s="46" t="s">
        <v>244</v>
      </c>
      <c r="B18" s="4" t="s">
        <v>142</v>
      </c>
      <c r="C18" s="35"/>
      <c r="D18" s="19"/>
      <c r="E18" s="19"/>
      <c r="F18" s="148"/>
      <c r="G18" s="148"/>
      <c r="H18" s="148"/>
      <c r="I18" s="148"/>
      <c r="J18" s="148"/>
      <c r="K18" s="148"/>
    </row>
    <row r="19" spans="1:11" ht="30">
      <c r="A19" s="58" t="s">
        <v>245</v>
      </c>
      <c r="B19" s="11" t="s">
        <v>171</v>
      </c>
      <c r="C19" s="12" t="s">
        <v>4</v>
      </c>
      <c r="D19" s="12">
        <v>20</v>
      </c>
      <c r="E19" s="12">
        <v>5</v>
      </c>
      <c r="F19" s="146">
        <v>56.9</v>
      </c>
      <c r="G19" s="146">
        <v>69.92</v>
      </c>
      <c r="H19" s="146"/>
      <c r="I19" s="146">
        <f t="shared" ref="I19" si="3">ROUND(AVERAGE(F19,G19,H19),2)</f>
        <v>63.41</v>
      </c>
      <c r="J19" s="146">
        <f t="shared" ref="J19" si="4">I19*D19</f>
        <v>1268.1999999999998</v>
      </c>
      <c r="K19" s="146">
        <f t="shared" ref="K19" si="5">I19*E19</f>
        <v>317.04999999999995</v>
      </c>
    </row>
    <row r="20" spans="1:11" ht="30">
      <c r="A20" s="58" t="s">
        <v>246</v>
      </c>
      <c r="B20" s="11" t="s">
        <v>164</v>
      </c>
      <c r="C20" s="12" t="s">
        <v>4</v>
      </c>
      <c r="D20" s="12">
        <v>90</v>
      </c>
      <c r="E20" s="12">
        <v>15</v>
      </c>
      <c r="F20" s="146">
        <v>17.46</v>
      </c>
      <c r="G20" s="146"/>
      <c r="H20" s="146"/>
      <c r="I20" s="146">
        <f t="shared" ref="I20:I44" si="6">ROUND(AVERAGE(F20,G20,H20),2)</f>
        <v>17.46</v>
      </c>
      <c r="J20" s="146">
        <f t="shared" ref="J20:J44" si="7">I20*D20</f>
        <v>1571.4</v>
      </c>
      <c r="K20" s="146">
        <f t="shared" ref="K20:K44" si="8">I20*E20</f>
        <v>261.90000000000003</v>
      </c>
    </row>
    <row r="21" spans="1:11">
      <c r="A21" s="58" t="s">
        <v>247</v>
      </c>
      <c r="B21" s="11" t="s">
        <v>378</v>
      </c>
      <c r="C21" s="12" t="s">
        <v>4</v>
      </c>
      <c r="D21" s="12">
        <v>30</v>
      </c>
      <c r="E21" s="12">
        <v>5</v>
      </c>
      <c r="F21" s="146">
        <v>7.1</v>
      </c>
      <c r="G21" s="146">
        <v>7.1</v>
      </c>
      <c r="H21" s="146">
        <v>7.1</v>
      </c>
      <c r="I21" s="146">
        <f t="shared" si="6"/>
        <v>7.1</v>
      </c>
      <c r="J21" s="146">
        <f t="shared" si="7"/>
        <v>213</v>
      </c>
      <c r="K21" s="146">
        <f t="shared" si="8"/>
        <v>35.5</v>
      </c>
    </row>
    <row r="22" spans="1:11" ht="30">
      <c r="A22" s="58" t="s">
        <v>248</v>
      </c>
      <c r="B22" s="11" t="s">
        <v>158</v>
      </c>
      <c r="C22" s="12" t="s">
        <v>4</v>
      </c>
      <c r="D22" s="12">
        <v>10</v>
      </c>
      <c r="E22" s="12">
        <v>2</v>
      </c>
      <c r="F22" s="146">
        <v>56.43</v>
      </c>
      <c r="G22" s="146">
        <v>43.06</v>
      </c>
      <c r="H22" s="146">
        <v>39.9</v>
      </c>
      <c r="I22" s="146">
        <f t="shared" si="6"/>
        <v>46.46</v>
      </c>
      <c r="J22" s="146">
        <f t="shared" si="7"/>
        <v>464.6</v>
      </c>
      <c r="K22" s="146">
        <f t="shared" si="8"/>
        <v>92.92</v>
      </c>
    </row>
    <row r="23" spans="1:11" ht="30">
      <c r="A23" s="58" t="s">
        <v>249</v>
      </c>
      <c r="B23" s="11" t="s">
        <v>170</v>
      </c>
      <c r="C23" s="12" t="s">
        <v>4</v>
      </c>
      <c r="D23" s="12">
        <v>20</v>
      </c>
      <c r="E23" s="12">
        <v>5</v>
      </c>
      <c r="F23" s="146">
        <v>178.13</v>
      </c>
      <c r="G23" s="146">
        <v>176.91</v>
      </c>
      <c r="H23" s="146">
        <v>254.2</v>
      </c>
      <c r="I23" s="146">
        <f t="shared" si="6"/>
        <v>203.08</v>
      </c>
      <c r="J23" s="146">
        <f t="shared" si="7"/>
        <v>4061.6000000000004</v>
      </c>
      <c r="K23" s="146">
        <f t="shared" si="8"/>
        <v>1015.4000000000001</v>
      </c>
    </row>
    <row r="24" spans="1:11" ht="30">
      <c r="A24" s="58" t="s">
        <v>532</v>
      </c>
      <c r="B24" s="11" t="s">
        <v>477</v>
      </c>
      <c r="C24" s="12" t="s">
        <v>4</v>
      </c>
      <c r="D24" s="13">
        <v>3</v>
      </c>
      <c r="E24" s="13">
        <v>3</v>
      </c>
      <c r="F24" s="149">
        <v>40.44</v>
      </c>
      <c r="G24" s="149"/>
      <c r="H24" s="149"/>
      <c r="I24" s="146">
        <f t="shared" si="6"/>
        <v>40.44</v>
      </c>
      <c r="J24" s="146">
        <f t="shared" si="7"/>
        <v>121.32</v>
      </c>
      <c r="K24" s="146">
        <f t="shared" si="8"/>
        <v>121.32</v>
      </c>
    </row>
    <row r="25" spans="1:11" ht="30">
      <c r="A25" s="58" t="s">
        <v>533</v>
      </c>
      <c r="B25" s="11" t="s">
        <v>174</v>
      </c>
      <c r="C25" s="12" t="s">
        <v>4</v>
      </c>
      <c r="D25" s="12">
        <v>5</v>
      </c>
      <c r="E25" s="12">
        <v>5</v>
      </c>
      <c r="F25" s="146">
        <v>58.63</v>
      </c>
      <c r="G25" s="146"/>
      <c r="H25" s="146"/>
      <c r="I25" s="146">
        <f t="shared" si="6"/>
        <v>58.63</v>
      </c>
      <c r="J25" s="146">
        <f t="shared" si="7"/>
        <v>293.15000000000003</v>
      </c>
      <c r="K25" s="146">
        <f t="shared" si="8"/>
        <v>293.15000000000003</v>
      </c>
    </row>
    <row r="26" spans="1:11">
      <c r="A26" s="58" t="s">
        <v>534</v>
      </c>
      <c r="B26" s="11" t="s">
        <v>175</v>
      </c>
      <c r="C26" s="12" t="s">
        <v>4</v>
      </c>
      <c r="D26" s="12">
        <v>5</v>
      </c>
      <c r="E26" s="12">
        <v>5</v>
      </c>
      <c r="F26" s="146">
        <v>21.73</v>
      </c>
      <c r="G26" s="146">
        <v>34.82</v>
      </c>
      <c r="H26" s="146">
        <v>20</v>
      </c>
      <c r="I26" s="146">
        <f t="shared" si="6"/>
        <v>25.52</v>
      </c>
      <c r="J26" s="146">
        <f t="shared" si="7"/>
        <v>127.6</v>
      </c>
      <c r="K26" s="146">
        <f t="shared" si="8"/>
        <v>127.6</v>
      </c>
    </row>
    <row r="27" spans="1:11" ht="30">
      <c r="A27" s="58" t="s">
        <v>606</v>
      </c>
      <c r="B27" s="11" t="s">
        <v>476</v>
      </c>
      <c r="C27" s="12" t="s">
        <v>4</v>
      </c>
      <c r="D27" s="13">
        <v>10</v>
      </c>
      <c r="E27" s="13">
        <v>10</v>
      </c>
      <c r="F27" s="149">
        <v>4.4400000000000004</v>
      </c>
      <c r="G27" s="149">
        <v>4</v>
      </c>
      <c r="H27" s="149">
        <v>4.2</v>
      </c>
      <c r="I27" s="146">
        <f t="shared" si="6"/>
        <v>4.21</v>
      </c>
      <c r="J27" s="146">
        <f t="shared" si="7"/>
        <v>42.1</v>
      </c>
      <c r="K27" s="146">
        <f t="shared" si="8"/>
        <v>42.1</v>
      </c>
    </row>
    <row r="28" spans="1:11" ht="30">
      <c r="A28" s="58" t="s">
        <v>607</v>
      </c>
      <c r="B28" s="11" t="s">
        <v>151</v>
      </c>
      <c r="C28" s="12" t="s">
        <v>4</v>
      </c>
      <c r="D28" s="12">
        <v>5</v>
      </c>
      <c r="E28" s="12">
        <v>2</v>
      </c>
      <c r="F28" s="146">
        <v>84.9</v>
      </c>
      <c r="G28" s="146">
        <v>144.05000000000001</v>
      </c>
      <c r="H28" s="146">
        <v>116.98</v>
      </c>
      <c r="I28" s="146">
        <f t="shared" si="6"/>
        <v>115.31</v>
      </c>
      <c r="J28" s="146">
        <f t="shared" si="7"/>
        <v>576.54999999999995</v>
      </c>
      <c r="K28" s="146">
        <f t="shared" si="8"/>
        <v>230.62</v>
      </c>
    </row>
    <row r="29" spans="1:11" ht="30">
      <c r="A29" s="58" t="s">
        <v>608</v>
      </c>
      <c r="B29" s="11" t="s">
        <v>152</v>
      </c>
      <c r="C29" s="12" t="s">
        <v>4</v>
      </c>
      <c r="D29" s="12">
        <v>3</v>
      </c>
      <c r="E29" s="12">
        <v>1</v>
      </c>
      <c r="F29" s="146">
        <v>133.9</v>
      </c>
      <c r="G29" s="146">
        <v>129.9</v>
      </c>
      <c r="H29" s="146">
        <v>168.8</v>
      </c>
      <c r="I29" s="146">
        <f t="shared" si="6"/>
        <v>144.19999999999999</v>
      </c>
      <c r="J29" s="146">
        <f t="shared" si="7"/>
        <v>432.59999999999997</v>
      </c>
      <c r="K29" s="146">
        <f t="shared" si="8"/>
        <v>144.19999999999999</v>
      </c>
    </row>
    <row r="30" spans="1:11" ht="30">
      <c r="A30" s="58" t="s">
        <v>609</v>
      </c>
      <c r="B30" s="11" t="s">
        <v>153</v>
      </c>
      <c r="C30" s="12" t="s">
        <v>4</v>
      </c>
      <c r="D30" s="12">
        <v>2</v>
      </c>
      <c r="E30" s="12">
        <v>1</v>
      </c>
      <c r="F30" s="146">
        <v>326.45</v>
      </c>
      <c r="G30" s="146">
        <v>271</v>
      </c>
      <c r="H30" s="146">
        <v>257</v>
      </c>
      <c r="I30" s="146">
        <f t="shared" si="6"/>
        <v>284.82</v>
      </c>
      <c r="J30" s="146">
        <f t="shared" si="7"/>
        <v>569.64</v>
      </c>
      <c r="K30" s="146">
        <f t="shared" si="8"/>
        <v>284.82</v>
      </c>
    </row>
    <row r="31" spans="1:11" ht="30">
      <c r="A31" s="58" t="s">
        <v>610</v>
      </c>
      <c r="B31" s="11" t="s">
        <v>159</v>
      </c>
      <c r="C31" s="12" t="s">
        <v>4</v>
      </c>
      <c r="D31" s="12">
        <v>10</v>
      </c>
      <c r="E31" s="12">
        <v>2</v>
      </c>
      <c r="F31" s="146">
        <v>13.61</v>
      </c>
      <c r="G31" s="146"/>
      <c r="H31" s="146"/>
      <c r="I31" s="146">
        <f t="shared" si="6"/>
        <v>13.61</v>
      </c>
      <c r="J31" s="146">
        <f t="shared" si="7"/>
        <v>136.1</v>
      </c>
      <c r="K31" s="146">
        <f t="shared" si="8"/>
        <v>27.22</v>
      </c>
    </row>
    <row r="32" spans="1:11" ht="30">
      <c r="A32" s="58" t="s">
        <v>611</v>
      </c>
      <c r="B32" s="11" t="s">
        <v>173</v>
      </c>
      <c r="C32" s="12" t="s">
        <v>4</v>
      </c>
      <c r="D32" s="12">
        <v>20</v>
      </c>
      <c r="E32" s="12">
        <v>5</v>
      </c>
      <c r="F32" s="146">
        <v>50.1</v>
      </c>
      <c r="G32" s="146"/>
      <c r="H32" s="146"/>
      <c r="I32" s="146">
        <f t="shared" si="6"/>
        <v>50.1</v>
      </c>
      <c r="J32" s="146">
        <f t="shared" si="7"/>
        <v>1002</v>
      </c>
      <c r="K32" s="146">
        <f t="shared" si="8"/>
        <v>250.5</v>
      </c>
    </row>
    <row r="33" spans="1:11" ht="30">
      <c r="A33" s="58" t="s">
        <v>612</v>
      </c>
      <c r="B33" s="11" t="s">
        <v>478</v>
      </c>
      <c r="C33" s="12" t="s">
        <v>4</v>
      </c>
      <c r="D33" s="13">
        <v>1</v>
      </c>
      <c r="E33" s="13">
        <v>1</v>
      </c>
      <c r="F33" s="149">
        <v>236.48</v>
      </c>
      <c r="G33" s="149"/>
      <c r="H33" s="149"/>
      <c r="I33" s="146">
        <f t="shared" si="6"/>
        <v>236.48</v>
      </c>
      <c r="J33" s="146">
        <f t="shared" si="7"/>
        <v>236.48</v>
      </c>
      <c r="K33" s="146">
        <f t="shared" si="8"/>
        <v>236.48</v>
      </c>
    </row>
    <row r="34" spans="1:11" ht="30">
      <c r="A34" s="58" t="s">
        <v>613</v>
      </c>
      <c r="B34" s="11" t="s">
        <v>380</v>
      </c>
      <c r="C34" s="12" t="s">
        <v>4</v>
      </c>
      <c r="D34" s="12">
        <v>15</v>
      </c>
      <c r="E34" s="12">
        <v>5</v>
      </c>
      <c r="F34" s="146">
        <f>41</f>
        <v>41</v>
      </c>
      <c r="G34" s="146">
        <f>67.63</f>
        <v>67.63</v>
      </c>
      <c r="H34" s="146">
        <f>46.9</f>
        <v>46.9</v>
      </c>
      <c r="I34" s="146">
        <f t="shared" si="6"/>
        <v>51.84</v>
      </c>
      <c r="J34" s="146">
        <f t="shared" si="7"/>
        <v>777.6</v>
      </c>
      <c r="K34" s="146">
        <f t="shared" si="8"/>
        <v>259.20000000000005</v>
      </c>
    </row>
    <row r="35" spans="1:11" ht="30">
      <c r="A35" s="58" t="s">
        <v>614</v>
      </c>
      <c r="B35" s="11" t="s">
        <v>131</v>
      </c>
      <c r="C35" s="12" t="s">
        <v>4</v>
      </c>
      <c r="D35" s="12">
        <v>10</v>
      </c>
      <c r="E35" s="12">
        <v>10</v>
      </c>
      <c r="F35" s="146">
        <v>30</v>
      </c>
      <c r="G35" s="146">
        <v>38.29</v>
      </c>
      <c r="H35" s="146">
        <v>32.9</v>
      </c>
      <c r="I35" s="146">
        <f t="shared" si="6"/>
        <v>33.729999999999997</v>
      </c>
      <c r="J35" s="146">
        <f t="shared" si="7"/>
        <v>337.29999999999995</v>
      </c>
      <c r="K35" s="146">
        <f t="shared" si="8"/>
        <v>337.29999999999995</v>
      </c>
    </row>
    <row r="36" spans="1:11" ht="30">
      <c r="A36" s="58" t="s">
        <v>615</v>
      </c>
      <c r="B36" s="11" t="s">
        <v>165</v>
      </c>
      <c r="C36" s="12" t="s">
        <v>4</v>
      </c>
      <c r="D36" s="12">
        <v>10</v>
      </c>
      <c r="E36" s="12">
        <v>5</v>
      </c>
      <c r="F36" s="146">
        <v>40</v>
      </c>
      <c r="G36" s="146">
        <v>40</v>
      </c>
      <c r="H36" s="146"/>
      <c r="I36" s="146">
        <f t="shared" si="6"/>
        <v>40</v>
      </c>
      <c r="J36" s="146">
        <f t="shared" si="7"/>
        <v>400</v>
      </c>
      <c r="K36" s="146">
        <f t="shared" si="8"/>
        <v>200</v>
      </c>
    </row>
    <row r="37" spans="1:11" ht="30">
      <c r="A37" s="58" t="s">
        <v>616</v>
      </c>
      <c r="B37" s="11" t="s">
        <v>161</v>
      </c>
      <c r="C37" s="12" t="s">
        <v>4</v>
      </c>
      <c r="D37" s="12">
        <v>40</v>
      </c>
      <c r="E37" s="12">
        <v>15</v>
      </c>
      <c r="F37" s="146">
        <v>24.82</v>
      </c>
      <c r="G37" s="146">
        <v>24.82</v>
      </c>
      <c r="H37" s="146">
        <v>24.82</v>
      </c>
      <c r="I37" s="146">
        <f t="shared" si="6"/>
        <v>24.82</v>
      </c>
      <c r="J37" s="146">
        <f t="shared" si="7"/>
        <v>992.8</v>
      </c>
      <c r="K37" s="146">
        <f t="shared" si="8"/>
        <v>372.3</v>
      </c>
    </row>
    <row r="38" spans="1:11" ht="30">
      <c r="A38" s="58" t="s">
        <v>617</v>
      </c>
      <c r="B38" s="11" t="s">
        <v>160</v>
      </c>
      <c r="C38" s="12" t="s">
        <v>4</v>
      </c>
      <c r="D38" s="12">
        <v>10</v>
      </c>
      <c r="E38" s="12">
        <v>5</v>
      </c>
      <c r="F38" s="146">
        <v>30.9</v>
      </c>
      <c r="G38" s="146">
        <v>29.97</v>
      </c>
      <c r="H38" s="146">
        <v>30.9</v>
      </c>
      <c r="I38" s="146">
        <f t="shared" si="6"/>
        <v>30.59</v>
      </c>
      <c r="J38" s="146">
        <f t="shared" si="7"/>
        <v>305.89999999999998</v>
      </c>
      <c r="K38" s="146">
        <f t="shared" si="8"/>
        <v>152.94999999999999</v>
      </c>
    </row>
    <row r="39" spans="1:11" ht="30">
      <c r="A39" s="58" t="s">
        <v>618</v>
      </c>
      <c r="B39" s="11" t="s">
        <v>162</v>
      </c>
      <c r="C39" s="12" t="s">
        <v>4</v>
      </c>
      <c r="D39" s="12">
        <v>10</v>
      </c>
      <c r="E39" s="12">
        <v>5</v>
      </c>
      <c r="F39" s="146">
        <v>77.56</v>
      </c>
      <c r="G39" s="146">
        <v>82.6</v>
      </c>
      <c r="H39" s="146">
        <v>61.46</v>
      </c>
      <c r="I39" s="146">
        <f t="shared" si="6"/>
        <v>73.87</v>
      </c>
      <c r="J39" s="146">
        <f t="shared" si="7"/>
        <v>738.7</v>
      </c>
      <c r="K39" s="146">
        <f t="shared" si="8"/>
        <v>369.35</v>
      </c>
    </row>
    <row r="40" spans="1:11" ht="30">
      <c r="A40" s="58" t="s">
        <v>619</v>
      </c>
      <c r="B40" s="11" t="s">
        <v>168</v>
      </c>
      <c r="C40" s="12" t="s">
        <v>4</v>
      </c>
      <c r="D40" s="12">
        <v>40</v>
      </c>
      <c r="E40" s="12">
        <v>20</v>
      </c>
      <c r="F40" s="146">
        <v>18</v>
      </c>
      <c r="G40" s="146">
        <v>20.95</v>
      </c>
      <c r="H40" s="146"/>
      <c r="I40" s="146">
        <f t="shared" si="6"/>
        <v>19.48</v>
      </c>
      <c r="J40" s="146">
        <f t="shared" si="7"/>
        <v>779.2</v>
      </c>
      <c r="K40" s="146">
        <f t="shared" si="8"/>
        <v>389.6</v>
      </c>
    </row>
    <row r="41" spans="1:11">
      <c r="A41" s="58" t="s">
        <v>620</v>
      </c>
      <c r="B41" s="11" t="s">
        <v>80</v>
      </c>
      <c r="C41" s="12" t="s">
        <v>4</v>
      </c>
      <c r="D41" s="12">
        <v>30</v>
      </c>
      <c r="E41" s="12">
        <v>30</v>
      </c>
      <c r="F41" s="146">
        <v>22</v>
      </c>
      <c r="G41" s="146"/>
      <c r="H41" s="146"/>
      <c r="I41" s="146">
        <f t="shared" si="6"/>
        <v>22</v>
      </c>
      <c r="J41" s="146">
        <f t="shared" si="7"/>
        <v>660</v>
      </c>
      <c r="K41" s="146">
        <f t="shared" si="8"/>
        <v>660</v>
      </c>
    </row>
    <row r="42" spans="1:11" ht="30">
      <c r="A42" s="58" t="s">
        <v>621</v>
      </c>
      <c r="B42" s="11" t="s">
        <v>382</v>
      </c>
      <c r="C42" s="12" t="s">
        <v>4</v>
      </c>
      <c r="D42" s="12">
        <v>5</v>
      </c>
      <c r="E42" s="12">
        <v>5</v>
      </c>
      <c r="F42" s="146">
        <v>32.99</v>
      </c>
      <c r="G42" s="146"/>
      <c r="H42" s="146"/>
      <c r="I42" s="146">
        <f t="shared" si="6"/>
        <v>32.99</v>
      </c>
      <c r="J42" s="146">
        <f t="shared" si="7"/>
        <v>164.95000000000002</v>
      </c>
      <c r="K42" s="146">
        <f t="shared" si="8"/>
        <v>164.95000000000002</v>
      </c>
    </row>
    <row r="43" spans="1:11" ht="30">
      <c r="A43" s="58" t="s">
        <v>622</v>
      </c>
      <c r="B43" s="11" t="s">
        <v>383</v>
      </c>
      <c r="C43" s="12" t="s">
        <v>4</v>
      </c>
      <c r="D43" s="12">
        <v>5</v>
      </c>
      <c r="E43" s="12">
        <v>5</v>
      </c>
      <c r="F43" s="146">
        <v>44.09</v>
      </c>
      <c r="G43" s="146"/>
      <c r="H43" s="146"/>
      <c r="I43" s="146">
        <f t="shared" si="6"/>
        <v>44.09</v>
      </c>
      <c r="J43" s="146">
        <f t="shared" si="7"/>
        <v>220.45000000000002</v>
      </c>
      <c r="K43" s="146">
        <f t="shared" si="8"/>
        <v>220.45000000000002</v>
      </c>
    </row>
    <row r="44" spans="1:11" ht="30">
      <c r="A44" s="58" t="s">
        <v>623</v>
      </c>
      <c r="B44" s="11" t="s">
        <v>379</v>
      </c>
      <c r="C44" s="12" t="s">
        <v>4</v>
      </c>
      <c r="D44" s="12">
        <v>15</v>
      </c>
      <c r="E44" s="12">
        <v>5</v>
      </c>
      <c r="F44" s="146">
        <f>34.43+7.1</f>
        <v>41.53</v>
      </c>
      <c r="G44" s="146">
        <v>24.85</v>
      </c>
      <c r="H44" s="146">
        <v>23.87</v>
      </c>
      <c r="I44" s="146">
        <f t="shared" si="6"/>
        <v>30.08</v>
      </c>
      <c r="J44" s="146">
        <f t="shared" si="7"/>
        <v>451.2</v>
      </c>
      <c r="K44" s="146">
        <f t="shared" si="8"/>
        <v>150.39999999999998</v>
      </c>
    </row>
    <row r="45" spans="1:11" ht="30">
      <c r="A45" s="46" t="s">
        <v>250</v>
      </c>
      <c r="B45" s="4" t="s">
        <v>140</v>
      </c>
      <c r="C45" s="35"/>
      <c r="D45" s="19"/>
      <c r="E45" s="19"/>
      <c r="F45" s="148"/>
      <c r="G45" s="148"/>
      <c r="H45" s="148"/>
      <c r="I45" s="148"/>
      <c r="J45" s="148"/>
      <c r="K45" s="150"/>
    </row>
    <row r="46" spans="1:11" ht="30">
      <c r="A46" s="59" t="s">
        <v>251</v>
      </c>
      <c r="B46" s="11" t="s">
        <v>856</v>
      </c>
      <c r="C46" s="12" t="s">
        <v>4</v>
      </c>
      <c r="D46" s="12">
        <v>1</v>
      </c>
      <c r="E46" s="12">
        <v>1</v>
      </c>
      <c r="F46" s="146">
        <f>380+44.4</f>
        <v>424.4</v>
      </c>
      <c r="G46" s="146"/>
      <c r="H46" s="146"/>
      <c r="I46" s="146">
        <f t="shared" ref="I46:I58" si="9">ROUND(AVERAGE(F46,G46,H46),2)</f>
        <v>424.4</v>
      </c>
      <c r="J46" s="146">
        <f t="shared" ref="J46:J58" si="10">I46*D46</f>
        <v>424.4</v>
      </c>
      <c r="K46" s="146">
        <f t="shared" ref="K46:K58" si="11">I46*E46</f>
        <v>424.4</v>
      </c>
    </row>
    <row r="47" spans="1:11" ht="30">
      <c r="A47" s="59" t="s">
        <v>252</v>
      </c>
      <c r="B47" s="11" t="s">
        <v>381</v>
      </c>
      <c r="C47" s="12" t="s">
        <v>77</v>
      </c>
      <c r="D47" s="12">
        <v>1</v>
      </c>
      <c r="E47" s="12">
        <v>1</v>
      </c>
      <c r="F47" s="146">
        <f>160+34.9</f>
        <v>194.9</v>
      </c>
      <c r="G47" s="146">
        <f>143+76.9</f>
        <v>219.9</v>
      </c>
      <c r="H47" s="146"/>
      <c r="I47" s="146">
        <f t="shared" si="9"/>
        <v>207.4</v>
      </c>
      <c r="J47" s="146">
        <f t="shared" si="10"/>
        <v>207.4</v>
      </c>
      <c r="K47" s="146">
        <f t="shared" si="11"/>
        <v>207.4</v>
      </c>
    </row>
    <row r="48" spans="1:11" ht="60">
      <c r="A48" s="59" t="s">
        <v>253</v>
      </c>
      <c r="B48" s="11" t="s">
        <v>590</v>
      </c>
      <c r="C48" s="12" t="s">
        <v>77</v>
      </c>
      <c r="D48" s="12">
        <v>10</v>
      </c>
      <c r="E48" s="12">
        <v>2</v>
      </c>
      <c r="F48" s="146">
        <v>129</v>
      </c>
      <c r="G48" s="146"/>
      <c r="H48" s="146"/>
      <c r="I48" s="146">
        <f t="shared" si="9"/>
        <v>129</v>
      </c>
      <c r="J48" s="146">
        <f t="shared" si="10"/>
        <v>1290</v>
      </c>
      <c r="K48" s="146">
        <f t="shared" si="11"/>
        <v>258</v>
      </c>
    </row>
    <row r="49" spans="1:11">
      <c r="A49" s="59" t="s">
        <v>254</v>
      </c>
      <c r="B49" s="11" t="s">
        <v>859</v>
      </c>
      <c r="C49" s="12" t="s">
        <v>4</v>
      </c>
      <c r="D49" s="12">
        <v>2</v>
      </c>
      <c r="E49" s="12">
        <v>2</v>
      </c>
      <c r="F49" s="146">
        <v>17.670000000000002</v>
      </c>
      <c r="G49" s="146">
        <v>18.2</v>
      </c>
      <c r="H49" s="146">
        <v>20.239999999999998</v>
      </c>
      <c r="I49" s="146">
        <f t="shared" si="9"/>
        <v>18.7</v>
      </c>
      <c r="J49" s="146">
        <f t="shared" si="10"/>
        <v>37.4</v>
      </c>
      <c r="K49" s="146">
        <f t="shared" si="11"/>
        <v>37.4</v>
      </c>
    </row>
    <row r="50" spans="1:11">
      <c r="A50" s="59" t="s">
        <v>255</v>
      </c>
      <c r="B50" s="11" t="s">
        <v>857</v>
      </c>
      <c r="C50" s="12" t="s">
        <v>4</v>
      </c>
      <c r="D50" s="12">
        <v>2</v>
      </c>
      <c r="E50" s="12">
        <v>2</v>
      </c>
      <c r="F50" s="146">
        <v>13.41</v>
      </c>
      <c r="G50" s="146">
        <v>39.9</v>
      </c>
      <c r="H50" s="146">
        <f>13.41+20.39</f>
        <v>33.799999999999997</v>
      </c>
      <c r="I50" s="146">
        <f t="shared" si="9"/>
        <v>29.04</v>
      </c>
      <c r="J50" s="146">
        <f t="shared" si="10"/>
        <v>58.08</v>
      </c>
      <c r="K50" s="146">
        <f t="shared" si="11"/>
        <v>58.08</v>
      </c>
    </row>
    <row r="51" spans="1:11" ht="30">
      <c r="A51" s="59" t="s">
        <v>624</v>
      </c>
      <c r="B51" s="11" t="s">
        <v>855</v>
      </c>
      <c r="C51" s="12" t="s">
        <v>4</v>
      </c>
      <c r="D51" s="12">
        <v>1</v>
      </c>
      <c r="E51" s="12">
        <v>1</v>
      </c>
      <c r="F51" s="146">
        <v>220.98</v>
      </c>
      <c r="G51" s="146"/>
      <c r="H51" s="146"/>
      <c r="I51" s="146">
        <f t="shared" si="9"/>
        <v>220.98</v>
      </c>
      <c r="J51" s="146">
        <f t="shared" si="10"/>
        <v>220.98</v>
      </c>
      <c r="K51" s="146">
        <f t="shared" si="11"/>
        <v>220.98</v>
      </c>
    </row>
    <row r="52" spans="1:11" ht="60">
      <c r="A52" s="59" t="s">
        <v>625</v>
      </c>
      <c r="B52" s="11" t="s">
        <v>122</v>
      </c>
      <c r="C52" s="12" t="s">
        <v>82</v>
      </c>
      <c r="D52" s="12">
        <v>60</v>
      </c>
      <c r="E52" s="12">
        <v>20</v>
      </c>
      <c r="F52" s="146">
        <v>5.9</v>
      </c>
      <c r="G52" s="146"/>
      <c r="H52" s="146"/>
      <c r="I52" s="146">
        <f t="shared" si="9"/>
        <v>5.9</v>
      </c>
      <c r="J52" s="146">
        <f t="shared" si="10"/>
        <v>354</v>
      </c>
      <c r="K52" s="146">
        <f t="shared" si="11"/>
        <v>118</v>
      </c>
    </row>
    <row r="53" spans="1:11" ht="45">
      <c r="A53" s="59" t="s">
        <v>724</v>
      </c>
      <c r="B53" s="11" t="s">
        <v>84</v>
      </c>
      <c r="C53" s="12" t="s">
        <v>4</v>
      </c>
      <c r="D53" s="12">
        <v>5</v>
      </c>
      <c r="E53" s="12">
        <v>2</v>
      </c>
      <c r="F53" s="146">
        <v>119.28</v>
      </c>
      <c r="G53" s="146"/>
      <c r="H53" s="146"/>
      <c r="I53" s="146">
        <f t="shared" si="9"/>
        <v>119.28</v>
      </c>
      <c r="J53" s="146">
        <f t="shared" si="10"/>
        <v>596.4</v>
      </c>
      <c r="K53" s="146">
        <f t="shared" si="11"/>
        <v>238.56</v>
      </c>
    </row>
    <row r="54" spans="1:11" ht="30">
      <c r="A54" s="59" t="s">
        <v>852</v>
      </c>
      <c r="B54" s="11" t="s">
        <v>861</v>
      </c>
      <c r="C54" s="12" t="s">
        <v>4</v>
      </c>
      <c r="D54" s="12">
        <v>3</v>
      </c>
      <c r="E54" s="12">
        <v>3</v>
      </c>
      <c r="F54" s="146">
        <v>40.97</v>
      </c>
      <c r="G54" s="146">
        <v>45.58</v>
      </c>
      <c r="H54" s="146">
        <v>40.97</v>
      </c>
      <c r="I54" s="146">
        <f t="shared" si="9"/>
        <v>42.51</v>
      </c>
      <c r="J54" s="146">
        <f t="shared" si="10"/>
        <v>127.53</v>
      </c>
      <c r="K54" s="146">
        <f t="shared" si="11"/>
        <v>127.53</v>
      </c>
    </row>
    <row r="55" spans="1:11" ht="30">
      <c r="A55" s="59" t="s">
        <v>853</v>
      </c>
      <c r="B55" s="11" t="s">
        <v>725</v>
      </c>
      <c r="C55" s="12" t="s">
        <v>4</v>
      </c>
      <c r="D55" s="12">
        <v>6</v>
      </c>
      <c r="E55" s="12">
        <v>6</v>
      </c>
      <c r="F55" s="146">
        <v>27.67</v>
      </c>
      <c r="G55" s="146">
        <f>23.89+17.78</f>
        <v>41.67</v>
      </c>
      <c r="H55" s="146"/>
      <c r="I55" s="146">
        <f t="shared" si="9"/>
        <v>34.67</v>
      </c>
      <c r="J55" s="146">
        <f t="shared" si="10"/>
        <v>208.02</v>
      </c>
      <c r="K55" s="146">
        <f t="shared" si="11"/>
        <v>208.02</v>
      </c>
    </row>
    <row r="56" spans="1:11" ht="30">
      <c r="A56" s="59" t="s">
        <v>854</v>
      </c>
      <c r="B56" s="11" t="s">
        <v>585</v>
      </c>
      <c r="C56" s="12" t="s">
        <v>4</v>
      </c>
      <c r="D56" s="12">
        <v>5</v>
      </c>
      <c r="E56" s="12">
        <v>5</v>
      </c>
      <c r="F56" s="146">
        <v>31.11</v>
      </c>
      <c r="G56" s="146">
        <v>33.26</v>
      </c>
      <c r="H56" s="146">
        <v>29.99</v>
      </c>
      <c r="I56" s="146">
        <f t="shared" si="9"/>
        <v>31.45</v>
      </c>
      <c r="J56" s="146">
        <f t="shared" si="10"/>
        <v>157.25</v>
      </c>
      <c r="K56" s="146">
        <f t="shared" si="11"/>
        <v>157.25</v>
      </c>
    </row>
    <row r="57" spans="1:11" ht="45">
      <c r="A57" s="59" t="s">
        <v>858</v>
      </c>
      <c r="B57" s="11" t="s">
        <v>584</v>
      </c>
      <c r="C57" s="12" t="s">
        <v>4</v>
      </c>
      <c r="D57" s="12">
        <v>100</v>
      </c>
      <c r="E57" s="12">
        <v>30</v>
      </c>
      <c r="F57" s="146">
        <v>11.24</v>
      </c>
      <c r="G57" s="146">
        <v>7.27</v>
      </c>
      <c r="H57" s="146">
        <v>10.7</v>
      </c>
      <c r="I57" s="146">
        <f t="shared" si="9"/>
        <v>9.74</v>
      </c>
      <c r="J57" s="146">
        <f t="shared" si="10"/>
        <v>974</v>
      </c>
      <c r="K57" s="146">
        <f t="shared" si="11"/>
        <v>292.2</v>
      </c>
    </row>
    <row r="58" spans="1:11" ht="45">
      <c r="A58" s="59" t="s">
        <v>860</v>
      </c>
      <c r="B58" s="11" t="s">
        <v>135</v>
      </c>
      <c r="C58" s="12" t="s">
        <v>4</v>
      </c>
      <c r="D58" s="12">
        <v>100</v>
      </c>
      <c r="E58" s="12">
        <v>30</v>
      </c>
      <c r="F58" s="146">
        <v>8.2899999999999991</v>
      </c>
      <c r="G58" s="146">
        <v>6.57</v>
      </c>
      <c r="H58" s="146">
        <v>10</v>
      </c>
      <c r="I58" s="146">
        <f t="shared" si="9"/>
        <v>8.2899999999999991</v>
      </c>
      <c r="J58" s="146">
        <f t="shared" si="10"/>
        <v>828.99999999999989</v>
      </c>
      <c r="K58" s="146">
        <f t="shared" si="11"/>
        <v>248.7</v>
      </c>
    </row>
    <row r="59" spans="1:11">
      <c r="A59" s="46" t="s">
        <v>256</v>
      </c>
      <c r="B59" s="4" t="s">
        <v>136</v>
      </c>
      <c r="C59" s="35"/>
      <c r="D59" s="19"/>
      <c r="E59" s="19"/>
      <c r="F59" s="148"/>
      <c r="G59" s="148"/>
      <c r="H59" s="148"/>
      <c r="I59" s="148"/>
      <c r="J59" s="148"/>
      <c r="K59" s="150"/>
    </row>
    <row r="60" spans="1:11" ht="45">
      <c r="A60" s="58" t="s">
        <v>352</v>
      </c>
      <c r="B60" s="11" t="s">
        <v>134</v>
      </c>
      <c r="C60" s="12" t="s">
        <v>4</v>
      </c>
      <c r="D60" s="12">
        <v>3</v>
      </c>
      <c r="E60" s="12">
        <v>0</v>
      </c>
      <c r="F60" s="146">
        <v>263.22000000000003</v>
      </c>
      <c r="G60" s="146">
        <v>263.22000000000003</v>
      </c>
      <c r="H60" s="146">
        <v>263.22000000000003</v>
      </c>
      <c r="I60" s="146">
        <f t="shared" ref="I60:I65" si="12">ROUND(AVERAGE(F60,G60,H60),2)</f>
        <v>263.22000000000003</v>
      </c>
      <c r="J60" s="146">
        <f t="shared" ref="J60:J65" si="13">I60*D60</f>
        <v>789.66000000000008</v>
      </c>
      <c r="K60" s="146">
        <f t="shared" ref="K60:K65" si="14">I60*E60</f>
        <v>0</v>
      </c>
    </row>
    <row r="61" spans="1:11" ht="45">
      <c r="A61" s="58" t="s">
        <v>353</v>
      </c>
      <c r="B61" s="11" t="s">
        <v>133</v>
      </c>
      <c r="C61" s="12" t="s">
        <v>4</v>
      </c>
      <c r="D61" s="12">
        <v>4</v>
      </c>
      <c r="E61" s="12">
        <v>0</v>
      </c>
      <c r="F61" s="146">
        <v>263.22000000000003</v>
      </c>
      <c r="G61" s="146">
        <v>263.22000000000003</v>
      </c>
      <c r="H61" s="146">
        <v>263.22000000000003</v>
      </c>
      <c r="I61" s="146">
        <f t="shared" si="12"/>
        <v>263.22000000000003</v>
      </c>
      <c r="J61" s="146">
        <f t="shared" si="13"/>
        <v>1052.8800000000001</v>
      </c>
      <c r="K61" s="146">
        <f t="shared" si="14"/>
        <v>0</v>
      </c>
    </row>
    <row r="62" spans="1:11" ht="45">
      <c r="A62" s="58" t="s">
        <v>354</v>
      </c>
      <c r="B62" s="11" t="s">
        <v>472</v>
      </c>
      <c r="C62" s="12" t="s">
        <v>4</v>
      </c>
      <c r="D62" s="12">
        <v>1</v>
      </c>
      <c r="E62" s="12">
        <v>0</v>
      </c>
      <c r="F62" s="146">
        <f>407.88+119.55</f>
        <v>527.42999999999995</v>
      </c>
      <c r="G62" s="146">
        <f>511.98+119.9</f>
        <v>631.88</v>
      </c>
      <c r="H62" s="146">
        <v>299.23</v>
      </c>
      <c r="I62" s="146">
        <f t="shared" si="12"/>
        <v>486.18</v>
      </c>
      <c r="J62" s="146">
        <f t="shared" si="13"/>
        <v>486.18</v>
      </c>
      <c r="K62" s="146">
        <f t="shared" si="14"/>
        <v>0</v>
      </c>
    </row>
    <row r="63" spans="1:11" ht="30">
      <c r="A63" s="58" t="s">
        <v>355</v>
      </c>
      <c r="B63" s="11" t="s">
        <v>473</v>
      </c>
      <c r="C63" s="12" t="s">
        <v>4</v>
      </c>
      <c r="D63" s="12">
        <v>1</v>
      </c>
      <c r="E63" s="12">
        <v>0</v>
      </c>
      <c r="F63" s="146">
        <f>250+62.9</f>
        <v>312.89999999999998</v>
      </c>
      <c r="G63" s="146"/>
      <c r="H63" s="146"/>
      <c r="I63" s="146">
        <f t="shared" si="12"/>
        <v>312.89999999999998</v>
      </c>
      <c r="J63" s="146">
        <f t="shared" si="13"/>
        <v>312.89999999999998</v>
      </c>
      <c r="K63" s="146">
        <f t="shared" si="14"/>
        <v>0</v>
      </c>
    </row>
    <row r="64" spans="1:11" ht="60">
      <c r="A64" s="58" t="s">
        <v>356</v>
      </c>
      <c r="B64" s="11" t="s">
        <v>474</v>
      </c>
      <c r="C64" s="12" t="s">
        <v>4</v>
      </c>
      <c r="D64" s="12">
        <v>6</v>
      </c>
      <c r="E64" s="12">
        <v>0</v>
      </c>
      <c r="F64" s="146">
        <f>1600+100</f>
        <v>1700</v>
      </c>
      <c r="G64" s="146"/>
      <c r="H64" s="146"/>
      <c r="I64" s="146">
        <f t="shared" si="12"/>
        <v>1700</v>
      </c>
      <c r="J64" s="146">
        <f t="shared" si="13"/>
        <v>10200</v>
      </c>
      <c r="K64" s="146">
        <f t="shared" si="14"/>
        <v>0</v>
      </c>
    </row>
    <row r="65" spans="1:11" ht="30">
      <c r="A65" s="58" t="s">
        <v>357</v>
      </c>
      <c r="B65" s="11" t="s">
        <v>639</v>
      </c>
      <c r="C65" s="12" t="s">
        <v>4</v>
      </c>
      <c r="D65" s="12">
        <f>3*4</f>
        <v>12</v>
      </c>
      <c r="E65" s="12">
        <v>0</v>
      </c>
      <c r="F65" s="146">
        <v>255</v>
      </c>
      <c r="G65" s="146"/>
      <c r="H65" s="146"/>
      <c r="I65" s="146">
        <f t="shared" si="12"/>
        <v>255</v>
      </c>
      <c r="J65" s="146">
        <f t="shared" si="13"/>
        <v>3060</v>
      </c>
      <c r="K65" s="146">
        <f t="shared" si="14"/>
        <v>0</v>
      </c>
    </row>
    <row r="66" spans="1:11">
      <c r="A66" s="46" t="s">
        <v>259</v>
      </c>
      <c r="B66" s="4" t="s">
        <v>127</v>
      </c>
      <c r="C66" s="35"/>
      <c r="D66" s="19"/>
      <c r="E66" s="19"/>
      <c r="F66" s="148"/>
      <c r="G66" s="148"/>
      <c r="H66" s="148"/>
      <c r="I66" s="148"/>
      <c r="J66" s="148"/>
      <c r="K66" s="150"/>
    </row>
    <row r="67" spans="1:11" ht="30">
      <c r="A67" s="58" t="s">
        <v>260</v>
      </c>
      <c r="B67" s="11" t="s">
        <v>100</v>
      </c>
      <c r="C67" s="12" t="s">
        <v>4</v>
      </c>
      <c r="D67" s="12">
        <v>2</v>
      </c>
      <c r="E67" s="12">
        <v>1</v>
      </c>
      <c r="F67" s="146">
        <v>109</v>
      </c>
      <c r="G67" s="146">
        <v>95.9</v>
      </c>
      <c r="H67" s="146">
        <v>95.17</v>
      </c>
      <c r="I67" s="146">
        <f t="shared" ref="I67" si="15">ROUND(AVERAGE(F67,G67,H67),2)</f>
        <v>100.02</v>
      </c>
      <c r="J67" s="146">
        <f t="shared" ref="J67" si="16">I67*D67</f>
        <v>200.04</v>
      </c>
      <c r="K67" s="146">
        <f t="shared" ref="K67" si="17">I67*E67</f>
        <v>100.02</v>
      </c>
    </row>
    <row r="68" spans="1:11" ht="30">
      <c r="A68" s="58" t="s">
        <v>261</v>
      </c>
      <c r="B68" s="11" t="s">
        <v>101</v>
      </c>
      <c r="C68" s="12" t="s">
        <v>4</v>
      </c>
      <c r="D68" s="12">
        <v>2</v>
      </c>
      <c r="E68" s="12">
        <v>1</v>
      </c>
      <c r="F68" s="146">
        <v>27</v>
      </c>
      <c r="G68" s="146">
        <v>27.9</v>
      </c>
      <c r="H68" s="146">
        <v>36.25</v>
      </c>
      <c r="I68" s="146">
        <f t="shared" ref="I68:I76" si="18">ROUND(AVERAGE(F68,G68,H68),2)</f>
        <v>30.38</v>
      </c>
      <c r="J68" s="146">
        <f t="shared" ref="J68:J76" si="19">I68*D68</f>
        <v>60.76</v>
      </c>
      <c r="K68" s="146">
        <f t="shared" ref="K68:K76" si="20">I68*E68</f>
        <v>30.38</v>
      </c>
    </row>
    <row r="69" spans="1:11">
      <c r="A69" s="58" t="s">
        <v>262</v>
      </c>
      <c r="B69" s="11" t="s">
        <v>103</v>
      </c>
      <c r="C69" s="12" t="s">
        <v>4</v>
      </c>
      <c r="D69" s="12">
        <v>4</v>
      </c>
      <c r="E69" s="12">
        <v>4</v>
      </c>
      <c r="F69" s="146">
        <v>10</v>
      </c>
      <c r="G69" s="146">
        <v>9.48</v>
      </c>
      <c r="H69" s="146"/>
      <c r="I69" s="146">
        <f t="shared" si="18"/>
        <v>9.74</v>
      </c>
      <c r="J69" s="146">
        <f t="shared" si="19"/>
        <v>38.96</v>
      </c>
      <c r="K69" s="146">
        <f t="shared" si="20"/>
        <v>38.96</v>
      </c>
    </row>
    <row r="70" spans="1:11">
      <c r="A70" s="58" t="s">
        <v>263</v>
      </c>
      <c r="B70" s="11" t="s">
        <v>102</v>
      </c>
      <c r="C70" s="12" t="s">
        <v>4</v>
      </c>
      <c r="D70" s="12">
        <v>4</v>
      </c>
      <c r="E70" s="12">
        <v>4</v>
      </c>
      <c r="F70" s="146">
        <v>20.9</v>
      </c>
      <c r="G70" s="146">
        <v>23.1</v>
      </c>
      <c r="H70" s="146">
        <v>16.899999999999999</v>
      </c>
      <c r="I70" s="146">
        <f t="shared" si="18"/>
        <v>20.3</v>
      </c>
      <c r="J70" s="146">
        <f t="shared" si="19"/>
        <v>81.2</v>
      </c>
      <c r="K70" s="146">
        <f t="shared" si="20"/>
        <v>81.2</v>
      </c>
    </row>
    <row r="71" spans="1:11" ht="45">
      <c r="A71" s="58" t="s">
        <v>358</v>
      </c>
      <c r="B71" s="11" t="s">
        <v>471</v>
      </c>
      <c r="C71" s="12" t="s">
        <v>4</v>
      </c>
      <c r="D71" s="12">
        <v>3</v>
      </c>
      <c r="E71" s="12">
        <v>3</v>
      </c>
      <c r="F71" s="146">
        <v>41</v>
      </c>
      <c r="G71" s="146">
        <v>31.29</v>
      </c>
      <c r="H71" s="146">
        <v>38.76</v>
      </c>
      <c r="I71" s="146">
        <f t="shared" si="18"/>
        <v>37.020000000000003</v>
      </c>
      <c r="J71" s="146">
        <f t="shared" si="19"/>
        <v>111.06</v>
      </c>
      <c r="K71" s="146">
        <f t="shared" si="20"/>
        <v>111.06</v>
      </c>
    </row>
    <row r="72" spans="1:11" ht="30">
      <c r="A72" s="58" t="s">
        <v>359</v>
      </c>
      <c r="B72" s="11" t="s">
        <v>99</v>
      </c>
      <c r="C72" s="12" t="s">
        <v>4</v>
      </c>
      <c r="D72" s="12">
        <v>2</v>
      </c>
      <c r="E72" s="12">
        <v>2</v>
      </c>
      <c r="F72" s="146">
        <v>49.9</v>
      </c>
      <c r="G72" s="146">
        <v>26.9</v>
      </c>
      <c r="H72" s="146"/>
      <c r="I72" s="146">
        <f t="shared" si="18"/>
        <v>38.4</v>
      </c>
      <c r="J72" s="146">
        <f t="shared" si="19"/>
        <v>76.8</v>
      </c>
      <c r="K72" s="146">
        <f t="shared" si="20"/>
        <v>76.8</v>
      </c>
    </row>
    <row r="73" spans="1:11" ht="30">
      <c r="A73" s="58" t="s">
        <v>360</v>
      </c>
      <c r="B73" s="11" t="s">
        <v>87</v>
      </c>
      <c r="C73" s="12" t="s">
        <v>4</v>
      </c>
      <c r="D73" s="12">
        <v>3</v>
      </c>
      <c r="E73" s="12">
        <v>1</v>
      </c>
      <c r="F73" s="146">
        <v>144</v>
      </c>
      <c r="G73" s="146">
        <v>130.25</v>
      </c>
      <c r="H73" s="146">
        <v>111</v>
      </c>
      <c r="I73" s="146">
        <f t="shared" si="18"/>
        <v>128.41999999999999</v>
      </c>
      <c r="J73" s="146">
        <f t="shared" si="19"/>
        <v>385.26</v>
      </c>
      <c r="K73" s="146">
        <f t="shared" si="20"/>
        <v>128.41999999999999</v>
      </c>
    </row>
    <row r="74" spans="1:11" ht="30">
      <c r="A74" s="58" t="s">
        <v>626</v>
      </c>
      <c r="B74" s="11" t="s">
        <v>88</v>
      </c>
      <c r="C74" s="12" t="s">
        <v>4</v>
      </c>
      <c r="D74" s="12">
        <v>5</v>
      </c>
      <c r="E74" s="12">
        <v>1</v>
      </c>
      <c r="F74" s="146">
        <v>174.61</v>
      </c>
      <c r="G74" s="146">
        <v>119.9</v>
      </c>
      <c r="H74" s="146">
        <v>166</v>
      </c>
      <c r="I74" s="146">
        <f t="shared" si="18"/>
        <v>153.5</v>
      </c>
      <c r="J74" s="146">
        <f t="shared" si="19"/>
        <v>767.5</v>
      </c>
      <c r="K74" s="146">
        <f t="shared" si="20"/>
        <v>153.5</v>
      </c>
    </row>
    <row r="75" spans="1:11" ht="30">
      <c r="A75" s="58" t="s">
        <v>627</v>
      </c>
      <c r="B75" s="11" t="s">
        <v>89</v>
      </c>
      <c r="C75" s="12" t="s">
        <v>4</v>
      </c>
      <c r="D75" s="12">
        <v>5</v>
      </c>
      <c r="E75" s="12">
        <v>1</v>
      </c>
      <c r="F75" s="146">
        <v>155</v>
      </c>
      <c r="G75" s="146">
        <v>138.5</v>
      </c>
      <c r="H75" s="146">
        <v>139.5</v>
      </c>
      <c r="I75" s="146">
        <f t="shared" si="18"/>
        <v>144.33000000000001</v>
      </c>
      <c r="J75" s="146">
        <f t="shared" si="19"/>
        <v>721.65000000000009</v>
      </c>
      <c r="K75" s="146">
        <f t="shared" si="20"/>
        <v>144.33000000000001</v>
      </c>
    </row>
    <row r="76" spans="1:11" ht="30">
      <c r="A76" s="58" t="s">
        <v>628</v>
      </c>
      <c r="B76" s="11" t="s">
        <v>370</v>
      </c>
      <c r="C76" s="12" t="s">
        <v>4</v>
      </c>
      <c r="D76" s="12">
        <v>2</v>
      </c>
      <c r="E76" s="12">
        <v>1</v>
      </c>
      <c r="F76" s="146">
        <v>244.33</v>
      </c>
      <c r="G76" s="146">
        <v>399.9</v>
      </c>
      <c r="H76" s="146">
        <v>299</v>
      </c>
      <c r="I76" s="146">
        <f t="shared" si="18"/>
        <v>314.41000000000003</v>
      </c>
      <c r="J76" s="146">
        <f t="shared" si="19"/>
        <v>628.82000000000005</v>
      </c>
      <c r="K76" s="146">
        <f t="shared" si="20"/>
        <v>314.41000000000003</v>
      </c>
    </row>
    <row r="77" spans="1:11">
      <c r="A77" s="46" t="s">
        <v>264</v>
      </c>
      <c r="B77" s="4" t="s">
        <v>258</v>
      </c>
      <c r="C77" s="35"/>
      <c r="D77" s="19"/>
      <c r="E77" s="19"/>
      <c r="F77" s="148"/>
      <c r="G77" s="148"/>
      <c r="H77" s="148"/>
      <c r="I77" s="148"/>
      <c r="J77" s="148"/>
      <c r="K77" s="150"/>
    </row>
    <row r="78" spans="1:11" ht="45">
      <c r="A78" s="58" t="s">
        <v>265</v>
      </c>
      <c r="B78" s="11" t="s">
        <v>145</v>
      </c>
      <c r="C78" s="12" t="s">
        <v>4</v>
      </c>
      <c r="D78" s="12">
        <v>4</v>
      </c>
      <c r="E78" s="12">
        <v>2</v>
      </c>
      <c r="F78" s="146">
        <v>359.9</v>
      </c>
      <c r="G78" s="146">
        <v>311.10000000000002</v>
      </c>
      <c r="H78" s="146">
        <v>339</v>
      </c>
      <c r="I78" s="146">
        <f t="shared" ref="I78:I87" si="21">ROUND(AVERAGE(F78,G78,H78),2)</f>
        <v>336.67</v>
      </c>
      <c r="J78" s="146">
        <f t="shared" ref="J78:J87" si="22">I78*D78</f>
        <v>1346.68</v>
      </c>
      <c r="K78" s="146">
        <f t="shared" ref="K78:K87" si="23">I78*E78</f>
        <v>673.34</v>
      </c>
    </row>
    <row r="79" spans="1:11" ht="45">
      <c r="A79" s="58" t="s">
        <v>266</v>
      </c>
      <c r="B79" s="11" t="s">
        <v>384</v>
      </c>
      <c r="C79" s="12" t="s">
        <v>4</v>
      </c>
      <c r="D79" s="12">
        <v>1</v>
      </c>
      <c r="E79" s="12">
        <v>1</v>
      </c>
      <c r="F79" s="146">
        <v>3588.88</v>
      </c>
      <c r="G79" s="146">
        <v>3090</v>
      </c>
      <c r="H79" s="146"/>
      <c r="I79" s="146">
        <f t="shared" si="21"/>
        <v>3339.44</v>
      </c>
      <c r="J79" s="146">
        <f t="shared" si="22"/>
        <v>3339.44</v>
      </c>
      <c r="K79" s="146">
        <f t="shared" si="23"/>
        <v>3339.44</v>
      </c>
    </row>
    <row r="80" spans="1:11" ht="45">
      <c r="A80" s="58" t="s">
        <v>267</v>
      </c>
      <c r="B80" s="11" t="s">
        <v>124</v>
      </c>
      <c r="C80" s="12" t="s">
        <v>4</v>
      </c>
      <c r="D80" s="12">
        <v>7</v>
      </c>
      <c r="E80" s="12">
        <v>0</v>
      </c>
      <c r="F80" s="146">
        <f>1010.61+177.56</f>
        <v>1188.17</v>
      </c>
      <c r="G80" s="146">
        <v>1236.47</v>
      </c>
      <c r="H80" s="146">
        <f>1333.5+89.65</f>
        <v>1423.15</v>
      </c>
      <c r="I80" s="146">
        <f t="shared" si="21"/>
        <v>1282.5999999999999</v>
      </c>
      <c r="J80" s="146">
        <f t="shared" si="22"/>
        <v>8978.1999999999989</v>
      </c>
      <c r="K80" s="146">
        <f t="shared" si="23"/>
        <v>0</v>
      </c>
    </row>
    <row r="81" spans="1:11" ht="45">
      <c r="A81" s="58" t="s">
        <v>268</v>
      </c>
      <c r="B81" s="11" t="s">
        <v>123</v>
      </c>
      <c r="C81" s="12" t="s">
        <v>4</v>
      </c>
      <c r="D81" s="12">
        <v>5</v>
      </c>
      <c r="E81" s="12">
        <v>0</v>
      </c>
      <c r="F81" s="146">
        <f>1466.91+283.23</f>
        <v>1750.14</v>
      </c>
      <c r="G81" s="146">
        <v>2069.2199999999998</v>
      </c>
      <c r="H81" s="146"/>
      <c r="I81" s="146">
        <f t="shared" si="21"/>
        <v>1909.68</v>
      </c>
      <c r="J81" s="146">
        <f t="shared" si="22"/>
        <v>9548.4</v>
      </c>
      <c r="K81" s="146">
        <f t="shared" si="23"/>
        <v>0</v>
      </c>
    </row>
    <row r="82" spans="1:11" ht="45">
      <c r="A82" s="58" t="s">
        <v>269</v>
      </c>
      <c r="B82" s="11" t="s">
        <v>104</v>
      </c>
      <c r="C82" s="12" t="s">
        <v>4</v>
      </c>
      <c r="D82" s="12">
        <v>6</v>
      </c>
      <c r="E82" s="12">
        <v>0</v>
      </c>
      <c r="F82" s="146">
        <f>335.9+20.2</f>
        <v>356.09999999999997</v>
      </c>
      <c r="G82" s="146">
        <f>297.9+27.85</f>
        <v>325.75</v>
      </c>
      <c r="H82" s="146"/>
      <c r="I82" s="146">
        <f t="shared" si="21"/>
        <v>340.93</v>
      </c>
      <c r="J82" s="146">
        <f t="shared" si="22"/>
        <v>2045.58</v>
      </c>
      <c r="K82" s="146">
        <f t="shared" si="23"/>
        <v>0</v>
      </c>
    </row>
    <row r="83" spans="1:11" ht="45">
      <c r="A83" s="58" t="s">
        <v>510</v>
      </c>
      <c r="B83" s="11" t="s">
        <v>701</v>
      </c>
      <c r="C83" s="12" t="s">
        <v>4</v>
      </c>
      <c r="D83" s="12">
        <v>2</v>
      </c>
      <c r="E83" s="12">
        <v>0</v>
      </c>
      <c r="F83" s="146">
        <v>1999</v>
      </c>
      <c r="G83" s="146">
        <v>1898.1</v>
      </c>
      <c r="H83" s="146">
        <v>1998</v>
      </c>
      <c r="I83" s="146">
        <f t="shared" si="21"/>
        <v>1965.03</v>
      </c>
      <c r="J83" s="146">
        <f t="shared" si="22"/>
        <v>3930.06</v>
      </c>
      <c r="K83" s="146">
        <f t="shared" si="23"/>
        <v>0</v>
      </c>
    </row>
    <row r="84" spans="1:11" ht="45">
      <c r="A84" s="58" t="s">
        <v>511</v>
      </c>
      <c r="B84" s="11" t="s">
        <v>385</v>
      </c>
      <c r="C84" s="12" t="s">
        <v>4</v>
      </c>
      <c r="D84" s="12">
        <v>2</v>
      </c>
      <c r="E84" s="12">
        <v>0</v>
      </c>
      <c r="F84" s="146">
        <v>1489</v>
      </c>
      <c r="G84" s="146">
        <v>1699.99</v>
      </c>
      <c r="H84" s="146">
        <v>1699</v>
      </c>
      <c r="I84" s="146">
        <f t="shared" si="21"/>
        <v>1629.33</v>
      </c>
      <c r="J84" s="146">
        <f t="shared" si="22"/>
        <v>3258.66</v>
      </c>
      <c r="K84" s="146">
        <f t="shared" si="23"/>
        <v>0</v>
      </c>
    </row>
    <row r="85" spans="1:11" ht="30">
      <c r="A85" s="58" t="s">
        <v>700</v>
      </c>
      <c r="B85" s="11" t="s">
        <v>823</v>
      </c>
      <c r="C85" s="12" t="s">
        <v>4</v>
      </c>
      <c r="D85" s="12">
        <v>2</v>
      </c>
      <c r="E85" s="12">
        <v>2</v>
      </c>
      <c r="F85" s="146">
        <f>385.19</f>
        <v>385.19</v>
      </c>
      <c r="G85" s="146">
        <f>9*32.22+55.16</f>
        <v>345.14</v>
      </c>
      <c r="H85" s="146"/>
      <c r="I85" s="146">
        <f t="shared" si="21"/>
        <v>365.17</v>
      </c>
      <c r="J85" s="146">
        <f t="shared" si="22"/>
        <v>730.34</v>
      </c>
      <c r="K85" s="146">
        <f t="shared" si="23"/>
        <v>730.34</v>
      </c>
    </row>
    <row r="86" spans="1:11" ht="30">
      <c r="A86" s="58" t="s">
        <v>821</v>
      </c>
      <c r="B86" s="11" t="s">
        <v>820</v>
      </c>
      <c r="C86" s="12" t="s">
        <v>4</v>
      </c>
      <c r="D86" s="12">
        <v>2</v>
      </c>
      <c r="E86" s="12">
        <v>2</v>
      </c>
      <c r="F86" s="146">
        <f>1354.82/2</f>
        <v>677.41</v>
      </c>
      <c r="G86" s="146"/>
      <c r="H86" s="146"/>
      <c r="I86" s="146">
        <f t="shared" si="21"/>
        <v>677.41</v>
      </c>
      <c r="J86" s="146">
        <f t="shared" si="22"/>
        <v>1354.82</v>
      </c>
      <c r="K86" s="146">
        <f t="shared" si="23"/>
        <v>1354.82</v>
      </c>
    </row>
    <row r="87" spans="1:11" ht="75">
      <c r="A87" s="58" t="s">
        <v>822</v>
      </c>
      <c r="B87" s="11" t="s">
        <v>573</v>
      </c>
      <c r="C87" s="12" t="s">
        <v>4</v>
      </c>
      <c r="D87" s="12">
        <v>1</v>
      </c>
      <c r="E87" s="12">
        <v>0</v>
      </c>
      <c r="F87" s="146">
        <f>1798.9</f>
        <v>1798.9</v>
      </c>
      <c r="G87" s="146">
        <v>2799</v>
      </c>
      <c r="H87" s="146">
        <v>2692.18</v>
      </c>
      <c r="I87" s="146">
        <f t="shared" si="21"/>
        <v>2430.0300000000002</v>
      </c>
      <c r="J87" s="146">
        <f t="shared" si="22"/>
        <v>2430.0300000000002</v>
      </c>
      <c r="K87" s="146">
        <f t="shared" si="23"/>
        <v>0</v>
      </c>
    </row>
    <row r="88" spans="1:11" ht="45">
      <c r="A88" s="58" t="s">
        <v>971</v>
      </c>
      <c r="B88" s="11" t="s">
        <v>969</v>
      </c>
      <c r="C88" s="12" t="s">
        <v>970</v>
      </c>
      <c r="D88" s="12">
        <v>0</v>
      </c>
      <c r="E88" s="12">
        <v>6</v>
      </c>
      <c r="F88" s="146">
        <f>SUM(J78:J87)</f>
        <v>36962.21</v>
      </c>
      <c r="G88" s="146">
        <v>0</v>
      </c>
      <c r="H88" s="146">
        <v>0</v>
      </c>
      <c r="I88" s="146" t="s">
        <v>376</v>
      </c>
      <c r="J88" s="146">
        <v>0</v>
      </c>
      <c r="K88" s="146">
        <f>SUM(J78:J87)*E88/100</f>
        <v>2217.7326000000003</v>
      </c>
    </row>
    <row r="89" spans="1:11">
      <c r="A89" s="46" t="s">
        <v>270</v>
      </c>
      <c r="B89" s="4" t="s">
        <v>90</v>
      </c>
      <c r="C89" s="35"/>
      <c r="D89" s="19"/>
      <c r="E89" s="19"/>
      <c r="F89" s="148"/>
      <c r="G89" s="148"/>
      <c r="H89" s="148"/>
      <c r="I89" s="148"/>
      <c r="J89" s="148"/>
      <c r="K89" s="150"/>
    </row>
    <row r="90" spans="1:11">
      <c r="A90" s="58" t="s">
        <v>271</v>
      </c>
      <c r="B90" s="11" t="s">
        <v>509</v>
      </c>
      <c r="C90" s="12" t="s">
        <v>467</v>
      </c>
      <c r="D90" s="12">
        <v>3</v>
      </c>
      <c r="E90" s="12">
        <v>3</v>
      </c>
      <c r="F90" s="146">
        <v>150</v>
      </c>
      <c r="G90" s="146">
        <v>160</v>
      </c>
      <c r="H90" s="146"/>
      <c r="I90" s="146">
        <f t="shared" ref="I90" si="24">ROUND(AVERAGE(F90,G90,H90),2)</f>
        <v>155</v>
      </c>
      <c r="J90" s="146">
        <f t="shared" ref="J90" si="25">I90*D90</f>
        <v>465</v>
      </c>
      <c r="K90" s="146">
        <f t="shared" ref="K90" si="26">I90*E90</f>
        <v>465</v>
      </c>
    </row>
    <row r="91" spans="1:11" ht="30">
      <c r="A91" s="58" t="s">
        <v>272</v>
      </c>
      <c r="B91" s="11" t="s">
        <v>505</v>
      </c>
      <c r="C91" s="12" t="s">
        <v>4</v>
      </c>
      <c r="D91" s="12">
        <v>8</v>
      </c>
      <c r="E91" s="12">
        <v>8</v>
      </c>
      <c r="F91" s="146">
        <v>240</v>
      </c>
      <c r="G91" s="146"/>
      <c r="H91" s="146"/>
      <c r="I91" s="146">
        <f t="shared" ref="I91:I99" si="27">ROUND(AVERAGE(F91,G91,H91),2)</f>
        <v>240</v>
      </c>
      <c r="J91" s="146">
        <f t="shared" ref="J91:J99" si="28">I91*D91</f>
        <v>1920</v>
      </c>
      <c r="K91" s="146">
        <f t="shared" ref="K91:K99" si="29">I91*E91</f>
        <v>1920</v>
      </c>
    </row>
    <row r="92" spans="1:11" ht="30">
      <c r="A92" s="58" t="s">
        <v>273</v>
      </c>
      <c r="B92" s="11" t="s">
        <v>506</v>
      </c>
      <c r="C92" s="12" t="s">
        <v>4</v>
      </c>
      <c r="D92" s="12">
        <v>8</v>
      </c>
      <c r="E92" s="12">
        <v>8</v>
      </c>
      <c r="F92" s="146">
        <v>280</v>
      </c>
      <c r="G92" s="146"/>
      <c r="H92" s="146"/>
      <c r="I92" s="146">
        <f t="shared" si="27"/>
        <v>280</v>
      </c>
      <c r="J92" s="146">
        <f t="shared" si="28"/>
        <v>2240</v>
      </c>
      <c r="K92" s="146">
        <f t="shared" si="29"/>
        <v>2240</v>
      </c>
    </row>
    <row r="93" spans="1:11" ht="30">
      <c r="A93" s="58" t="s">
        <v>274</v>
      </c>
      <c r="B93" s="11" t="s">
        <v>684</v>
      </c>
      <c r="C93" s="12" t="s">
        <v>681</v>
      </c>
      <c r="D93" s="12">
        <v>30</v>
      </c>
      <c r="E93" s="12">
        <v>30</v>
      </c>
      <c r="F93" s="146">
        <v>100</v>
      </c>
      <c r="G93" s="146"/>
      <c r="H93" s="146"/>
      <c r="I93" s="146">
        <f t="shared" ref="I93:I94" si="30">ROUND(AVERAGE(F93,G93,H93),2)</f>
        <v>100</v>
      </c>
      <c r="J93" s="146">
        <f t="shared" ref="J93:J94" si="31">I93*D93</f>
        <v>3000</v>
      </c>
      <c r="K93" s="146">
        <f t="shared" ref="K93:K94" si="32">I93*E93</f>
        <v>3000</v>
      </c>
    </row>
    <row r="94" spans="1:11" ht="30">
      <c r="A94" s="58" t="s">
        <v>275</v>
      </c>
      <c r="B94" s="11" t="s">
        <v>683</v>
      </c>
      <c r="C94" s="12" t="s">
        <v>4</v>
      </c>
      <c r="D94" s="12">
        <v>1</v>
      </c>
      <c r="E94" s="12">
        <v>1</v>
      </c>
      <c r="F94" s="146">
        <v>571.63</v>
      </c>
      <c r="G94" s="146">
        <v>250</v>
      </c>
      <c r="H94" s="146"/>
      <c r="I94" s="146">
        <f t="shared" si="30"/>
        <v>410.82</v>
      </c>
      <c r="J94" s="146">
        <f t="shared" si="31"/>
        <v>410.82</v>
      </c>
      <c r="K94" s="146">
        <f t="shared" si="32"/>
        <v>410.82</v>
      </c>
    </row>
    <row r="95" spans="1:11" ht="75">
      <c r="A95" s="58" t="s">
        <v>276</v>
      </c>
      <c r="B95" s="11" t="s">
        <v>675</v>
      </c>
      <c r="C95" s="12" t="s">
        <v>676</v>
      </c>
      <c r="D95" s="12">
        <f>12*2</f>
        <v>24</v>
      </c>
      <c r="E95" s="12">
        <v>24</v>
      </c>
      <c r="F95" s="146">
        <v>5260</v>
      </c>
      <c r="G95" s="146"/>
      <c r="H95" s="146"/>
      <c r="I95" s="146">
        <f t="shared" si="27"/>
        <v>5260</v>
      </c>
      <c r="J95" s="146">
        <f t="shared" si="28"/>
        <v>126240</v>
      </c>
      <c r="K95" s="146">
        <f t="shared" si="29"/>
        <v>126240</v>
      </c>
    </row>
    <row r="96" spans="1:11" ht="60">
      <c r="A96" s="58" t="s">
        <v>277</v>
      </c>
      <c r="B96" s="11" t="s">
        <v>589</v>
      </c>
      <c r="C96" s="12" t="s">
        <v>467</v>
      </c>
      <c r="D96" s="12">
        <v>12</v>
      </c>
      <c r="E96" s="12">
        <v>12</v>
      </c>
      <c r="F96" s="146">
        <v>1480</v>
      </c>
      <c r="G96" s="146"/>
      <c r="H96" s="146"/>
      <c r="I96" s="146">
        <f t="shared" si="27"/>
        <v>1480</v>
      </c>
      <c r="J96" s="146">
        <f t="shared" si="28"/>
        <v>17760</v>
      </c>
      <c r="K96" s="146">
        <f t="shared" si="29"/>
        <v>17760</v>
      </c>
    </row>
    <row r="97" spans="1:11" ht="75">
      <c r="A97" s="58" t="s">
        <v>362</v>
      </c>
      <c r="B97" s="11" t="s">
        <v>588</v>
      </c>
      <c r="C97" s="12" t="s">
        <v>467</v>
      </c>
      <c r="D97" s="12">
        <v>12</v>
      </c>
      <c r="E97" s="12">
        <v>12</v>
      </c>
      <c r="F97" s="146">
        <v>1740</v>
      </c>
      <c r="G97" s="146"/>
      <c r="H97" s="146"/>
      <c r="I97" s="146">
        <f t="shared" si="27"/>
        <v>1740</v>
      </c>
      <c r="J97" s="146">
        <f t="shared" si="28"/>
        <v>20880</v>
      </c>
      <c r="K97" s="146">
        <f t="shared" si="29"/>
        <v>20880</v>
      </c>
    </row>
    <row r="98" spans="1:11" ht="45">
      <c r="A98" s="58" t="s">
        <v>680</v>
      </c>
      <c r="B98" s="11" t="s">
        <v>587</v>
      </c>
      <c r="C98" s="12" t="s">
        <v>467</v>
      </c>
      <c r="D98" s="12">
        <v>12</v>
      </c>
      <c r="E98" s="12">
        <v>12</v>
      </c>
      <c r="F98" s="146">
        <v>1280</v>
      </c>
      <c r="G98" s="146"/>
      <c r="H98" s="146"/>
      <c r="I98" s="146">
        <f t="shared" si="27"/>
        <v>1280</v>
      </c>
      <c r="J98" s="146">
        <f t="shared" si="28"/>
        <v>15360</v>
      </c>
      <c r="K98" s="146">
        <f t="shared" si="29"/>
        <v>15360</v>
      </c>
    </row>
    <row r="99" spans="1:11" ht="75">
      <c r="A99" s="58" t="s">
        <v>682</v>
      </c>
      <c r="B99" s="11" t="s">
        <v>586</v>
      </c>
      <c r="C99" s="12" t="s">
        <v>467</v>
      </c>
      <c r="D99" s="12">
        <v>12</v>
      </c>
      <c r="E99" s="12">
        <v>12</v>
      </c>
      <c r="F99" s="146">
        <v>5720</v>
      </c>
      <c r="G99" s="146"/>
      <c r="H99" s="146"/>
      <c r="I99" s="146">
        <f t="shared" si="27"/>
        <v>5720</v>
      </c>
      <c r="J99" s="146">
        <f t="shared" si="28"/>
        <v>68640</v>
      </c>
      <c r="K99" s="146">
        <f t="shared" si="29"/>
        <v>68640</v>
      </c>
    </row>
    <row r="100" spans="1:11" s="8" customFormat="1" ht="43.5" customHeight="1" thickBot="1">
      <c r="A100" s="105" t="s">
        <v>409</v>
      </c>
      <c r="B100" s="106"/>
      <c r="C100" s="106"/>
      <c r="D100" s="106"/>
      <c r="E100" s="106"/>
      <c r="F100" s="106"/>
      <c r="G100" s="106"/>
      <c r="H100" s="106"/>
      <c r="I100" s="106"/>
      <c r="J100" s="74">
        <f>SUM(J3:J99)</f>
        <v>387502.69999999995</v>
      </c>
      <c r="K100" s="74">
        <f>SUM(K3:K99)</f>
        <v>281689.86259999999</v>
      </c>
    </row>
  </sheetData>
  <sortState ref="B46:K58">
    <sortCondition ref="B46:B58"/>
  </sortState>
  <mergeCells count="3">
    <mergeCell ref="A2:B2"/>
    <mergeCell ref="A100:I100"/>
    <mergeCell ref="A1:K1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7" fitToHeight="0" orientation="portrait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93"/>
  <sheetViews>
    <sheetView view="pageBreakPreview" topLeftCell="A88" zoomScaleNormal="100" zoomScaleSheetLayoutView="100" workbookViewId="0">
      <selection sqref="A1:K93"/>
    </sheetView>
  </sheetViews>
  <sheetFormatPr defaultColWidth="9.140625" defaultRowHeight="15"/>
  <cols>
    <col min="1" max="1" width="6.5703125" style="3" customWidth="1"/>
    <col min="2" max="2" width="46.85546875" style="7" customWidth="1"/>
    <col min="3" max="3" width="5.5703125" style="8" customWidth="1"/>
    <col min="4" max="5" width="18.5703125" style="10" customWidth="1"/>
    <col min="6" max="8" width="17.28515625" style="23" hidden="1" customWidth="1"/>
    <col min="9" max="9" width="18.140625" style="24" customWidth="1"/>
    <col min="10" max="11" width="20" style="24" customWidth="1"/>
    <col min="12" max="12" width="9.140625" style="18"/>
    <col min="13" max="13" width="12.140625" style="18" bestFit="1" customWidth="1"/>
    <col min="14" max="14" width="24" style="18" customWidth="1"/>
    <col min="15" max="16384" width="9.140625" style="18"/>
  </cols>
  <sheetData>
    <row r="1" spans="1:11" ht="18.75">
      <c r="A1" s="107" t="s">
        <v>452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</row>
    <row r="2" spans="1:11" ht="30">
      <c r="A2" s="97" t="s">
        <v>3</v>
      </c>
      <c r="B2" s="98"/>
      <c r="C2" s="14" t="s">
        <v>0</v>
      </c>
      <c r="D2" s="68" t="s">
        <v>513</v>
      </c>
      <c r="E2" s="71" t="s">
        <v>514</v>
      </c>
      <c r="F2" s="15" t="s">
        <v>50</v>
      </c>
      <c r="G2" s="16" t="s">
        <v>51</v>
      </c>
      <c r="H2" s="17" t="s">
        <v>52</v>
      </c>
      <c r="I2" s="69" t="s">
        <v>979</v>
      </c>
      <c r="J2" s="69" t="s">
        <v>980</v>
      </c>
      <c r="K2" s="71" t="s">
        <v>981</v>
      </c>
    </row>
    <row r="3" spans="1:11">
      <c r="A3" s="46" t="s">
        <v>278</v>
      </c>
      <c r="B3" s="4" t="s">
        <v>299</v>
      </c>
      <c r="C3" s="5"/>
      <c r="D3" s="9"/>
      <c r="E3" s="9"/>
      <c r="F3" s="19"/>
      <c r="G3" s="19"/>
      <c r="H3" s="19"/>
      <c r="I3" s="20"/>
      <c r="J3" s="70"/>
      <c r="K3" s="57"/>
    </row>
    <row r="4" spans="1:11" s="21" customFormat="1" ht="30">
      <c r="A4" s="58" t="s">
        <v>279</v>
      </c>
      <c r="B4" s="11" t="s">
        <v>64</v>
      </c>
      <c r="C4" s="12" t="s">
        <v>4</v>
      </c>
      <c r="D4" s="12">
        <v>2</v>
      </c>
      <c r="E4" s="12">
        <v>2</v>
      </c>
      <c r="F4" s="149">
        <v>59.85</v>
      </c>
      <c r="G4" s="149">
        <v>85</v>
      </c>
      <c r="H4" s="149">
        <v>85</v>
      </c>
      <c r="I4" s="146">
        <f t="shared" ref="I4:I21" si="0">ROUND(AVERAGE(F4,G4,H4),2)</f>
        <v>76.62</v>
      </c>
      <c r="J4" s="146">
        <f t="shared" ref="J4:J21" si="1">I4*D4</f>
        <v>153.24</v>
      </c>
      <c r="K4" s="146">
        <f t="shared" ref="K4:K21" si="2">I4*E4</f>
        <v>153.24</v>
      </c>
    </row>
    <row r="5" spans="1:11" s="21" customFormat="1">
      <c r="A5" s="58" t="s">
        <v>280</v>
      </c>
      <c r="B5" s="11" t="s">
        <v>157</v>
      </c>
      <c r="C5" s="12" t="s">
        <v>4</v>
      </c>
      <c r="D5" s="12">
        <v>2</v>
      </c>
      <c r="E5" s="12">
        <v>2</v>
      </c>
      <c r="F5" s="149">
        <v>10</v>
      </c>
      <c r="G5" s="149">
        <v>10.050000000000001</v>
      </c>
      <c r="H5" s="149">
        <v>12.78</v>
      </c>
      <c r="I5" s="146">
        <f t="shared" si="0"/>
        <v>10.94</v>
      </c>
      <c r="J5" s="146">
        <f t="shared" si="1"/>
        <v>21.88</v>
      </c>
      <c r="K5" s="146">
        <f t="shared" si="2"/>
        <v>21.88</v>
      </c>
    </row>
    <row r="6" spans="1:11" s="21" customFormat="1" ht="30">
      <c r="A6" s="58" t="s">
        <v>281</v>
      </c>
      <c r="B6" s="11" t="s">
        <v>86</v>
      </c>
      <c r="C6" s="12" t="s">
        <v>4</v>
      </c>
      <c r="D6" s="12">
        <v>20</v>
      </c>
      <c r="E6" s="12">
        <v>20</v>
      </c>
      <c r="F6" s="149">
        <v>13</v>
      </c>
      <c r="G6" s="149">
        <v>13.44</v>
      </c>
      <c r="H6" s="149">
        <v>32</v>
      </c>
      <c r="I6" s="146">
        <f t="shared" si="0"/>
        <v>19.48</v>
      </c>
      <c r="J6" s="146">
        <f t="shared" si="1"/>
        <v>389.6</v>
      </c>
      <c r="K6" s="146">
        <f t="shared" si="2"/>
        <v>389.6</v>
      </c>
    </row>
    <row r="7" spans="1:11" s="21" customFormat="1" ht="30">
      <c r="A7" s="58" t="s">
        <v>282</v>
      </c>
      <c r="B7" s="11" t="s">
        <v>117</v>
      </c>
      <c r="C7" s="12" t="s">
        <v>77</v>
      </c>
      <c r="D7" s="13">
        <v>4</v>
      </c>
      <c r="E7" s="13">
        <v>4</v>
      </c>
      <c r="F7" s="149">
        <v>13.55</v>
      </c>
      <c r="G7" s="149">
        <v>13.55</v>
      </c>
      <c r="H7" s="149"/>
      <c r="I7" s="146">
        <f t="shared" si="0"/>
        <v>13.55</v>
      </c>
      <c r="J7" s="146">
        <f t="shared" si="1"/>
        <v>54.2</v>
      </c>
      <c r="K7" s="146">
        <f t="shared" si="2"/>
        <v>54.2</v>
      </c>
    </row>
    <row r="8" spans="1:11" s="21" customFormat="1" ht="60">
      <c r="A8" s="58" t="s">
        <v>283</v>
      </c>
      <c r="B8" s="11" t="s">
        <v>482</v>
      </c>
      <c r="C8" s="12" t="s">
        <v>77</v>
      </c>
      <c r="D8" s="13">
        <v>3</v>
      </c>
      <c r="E8" s="13">
        <v>3</v>
      </c>
      <c r="F8" s="149">
        <f>4.59*10/2</f>
        <v>22.95</v>
      </c>
      <c r="G8" s="149"/>
      <c r="H8" s="149"/>
      <c r="I8" s="146">
        <f t="shared" si="0"/>
        <v>22.95</v>
      </c>
      <c r="J8" s="146">
        <f t="shared" si="1"/>
        <v>68.849999999999994</v>
      </c>
      <c r="K8" s="146">
        <f t="shared" si="2"/>
        <v>68.849999999999994</v>
      </c>
    </row>
    <row r="9" spans="1:11" s="21" customFormat="1" ht="60">
      <c r="A9" s="58" t="s">
        <v>363</v>
      </c>
      <c r="B9" s="11" t="s">
        <v>481</v>
      </c>
      <c r="C9" s="12" t="s">
        <v>77</v>
      </c>
      <c r="D9" s="13">
        <v>3</v>
      </c>
      <c r="E9" s="13">
        <v>3</v>
      </c>
      <c r="F9" s="149">
        <f>11.3*10/5</f>
        <v>22.6</v>
      </c>
      <c r="G9" s="149">
        <v>22</v>
      </c>
      <c r="H9" s="149"/>
      <c r="I9" s="146">
        <f t="shared" si="0"/>
        <v>22.3</v>
      </c>
      <c r="J9" s="146">
        <f t="shared" si="1"/>
        <v>66.900000000000006</v>
      </c>
      <c r="K9" s="146">
        <f t="shared" si="2"/>
        <v>66.900000000000006</v>
      </c>
    </row>
    <row r="10" spans="1:11" s="21" customFormat="1" ht="60">
      <c r="A10" s="58" t="s">
        <v>364</v>
      </c>
      <c r="B10" s="11" t="s">
        <v>483</v>
      </c>
      <c r="C10" s="12" t="s">
        <v>77</v>
      </c>
      <c r="D10" s="13">
        <v>3</v>
      </c>
      <c r="E10" s="13">
        <v>3</v>
      </c>
      <c r="F10" s="149">
        <f>13.66/2</f>
        <v>6.83</v>
      </c>
      <c r="G10" s="149">
        <f>12.88/2</f>
        <v>6.44</v>
      </c>
      <c r="H10" s="149"/>
      <c r="I10" s="146">
        <f t="shared" si="0"/>
        <v>6.64</v>
      </c>
      <c r="J10" s="146">
        <f t="shared" si="1"/>
        <v>19.919999999999998</v>
      </c>
      <c r="K10" s="146">
        <f t="shared" si="2"/>
        <v>19.919999999999998</v>
      </c>
    </row>
    <row r="11" spans="1:11" s="21" customFormat="1" ht="45">
      <c r="A11" s="58" t="s">
        <v>365</v>
      </c>
      <c r="B11" s="11" t="s">
        <v>116</v>
      </c>
      <c r="C11" s="12" t="s">
        <v>77</v>
      </c>
      <c r="D11" s="13">
        <v>40</v>
      </c>
      <c r="E11" s="13">
        <v>40</v>
      </c>
      <c r="F11" s="149">
        <v>25.76</v>
      </c>
      <c r="G11" s="149">
        <v>20.16</v>
      </c>
      <c r="H11" s="149"/>
      <c r="I11" s="146">
        <f t="shared" si="0"/>
        <v>22.96</v>
      </c>
      <c r="J11" s="146">
        <f t="shared" si="1"/>
        <v>918.40000000000009</v>
      </c>
      <c r="K11" s="146">
        <f t="shared" si="2"/>
        <v>918.40000000000009</v>
      </c>
    </row>
    <row r="12" spans="1:11" s="21" customFormat="1" ht="30">
      <c r="A12" s="58" t="s">
        <v>366</v>
      </c>
      <c r="B12" s="11" t="s">
        <v>155</v>
      </c>
      <c r="C12" s="12" t="s">
        <v>4</v>
      </c>
      <c r="D12" s="12">
        <v>5</v>
      </c>
      <c r="E12" s="12">
        <v>5</v>
      </c>
      <c r="F12" s="149">
        <v>20.53</v>
      </c>
      <c r="G12" s="149">
        <v>30.21</v>
      </c>
      <c r="H12" s="149">
        <v>28.7</v>
      </c>
      <c r="I12" s="146">
        <f t="shared" si="0"/>
        <v>26.48</v>
      </c>
      <c r="J12" s="146">
        <f t="shared" si="1"/>
        <v>132.4</v>
      </c>
      <c r="K12" s="146">
        <f t="shared" si="2"/>
        <v>132.4</v>
      </c>
    </row>
    <row r="13" spans="1:11" s="21" customFormat="1" ht="30">
      <c r="A13" s="58" t="s">
        <v>367</v>
      </c>
      <c r="B13" s="11" t="s">
        <v>156</v>
      </c>
      <c r="C13" s="12" t="s">
        <v>4</v>
      </c>
      <c r="D13" s="12">
        <v>5</v>
      </c>
      <c r="E13" s="12">
        <v>5</v>
      </c>
      <c r="F13" s="149">
        <v>33.43</v>
      </c>
      <c r="G13" s="149">
        <v>21.51</v>
      </c>
      <c r="H13" s="149">
        <v>30.51</v>
      </c>
      <c r="I13" s="146">
        <f t="shared" si="0"/>
        <v>28.48</v>
      </c>
      <c r="J13" s="146">
        <f t="shared" si="1"/>
        <v>142.4</v>
      </c>
      <c r="K13" s="146">
        <f t="shared" si="2"/>
        <v>142.4</v>
      </c>
    </row>
    <row r="14" spans="1:11" s="21" customFormat="1" ht="30">
      <c r="A14" s="58" t="s">
        <v>368</v>
      </c>
      <c r="B14" s="11" t="s">
        <v>163</v>
      </c>
      <c r="C14" s="12" t="s">
        <v>4</v>
      </c>
      <c r="D14" s="12">
        <v>2</v>
      </c>
      <c r="E14" s="12">
        <v>2</v>
      </c>
      <c r="F14" s="149">
        <v>33.020000000000003</v>
      </c>
      <c r="G14" s="149">
        <v>17.16</v>
      </c>
      <c r="H14" s="149">
        <v>17</v>
      </c>
      <c r="I14" s="146">
        <f t="shared" si="0"/>
        <v>22.39</v>
      </c>
      <c r="J14" s="146">
        <f t="shared" si="1"/>
        <v>44.78</v>
      </c>
      <c r="K14" s="146">
        <f t="shared" si="2"/>
        <v>44.78</v>
      </c>
    </row>
    <row r="15" spans="1:11" s="21" customFormat="1" ht="30">
      <c r="A15" s="58" t="s">
        <v>369</v>
      </c>
      <c r="B15" s="56" t="s">
        <v>172</v>
      </c>
      <c r="C15" s="64" t="s">
        <v>4</v>
      </c>
      <c r="D15" s="12">
        <v>10</v>
      </c>
      <c r="E15" s="12">
        <v>10</v>
      </c>
      <c r="F15" s="149">
        <v>37.159999999999997</v>
      </c>
      <c r="G15" s="149">
        <v>49.43</v>
      </c>
      <c r="H15" s="149">
        <v>46.91</v>
      </c>
      <c r="I15" s="146">
        <f t="shared" si="0"/>
        <v>44.5</v>
      </c>
      <c r="J15" s="146">
        <f t="shared" si="1"/>
        <v>445</v>
      </c>
      <c r="K15" s="146">
        <f t="shared" si="2"/>
        <v>445</v>
      </c>
    </row>
    <row r="16" spans="1:11" s="21" customFormat="1">
      <c r="A16" s="58" t="s">
        <v>535</v>
      </c>
      <c r="B16" s="11" t="s">
        <v>484</v>
      </c>
      <c r="C16" s="12" t="s">
        <v>4</v>
      </c>
      <c r="D16" s="12">
        <v>4</v>
      </c>
      <c r="E16" s="12">
        <v>4</v>
      </c>
      <c r="F16" s="149">
        <v>15.7</v>
      </c>
      <c r="G16" s="149">
        <v>29.44</v>
      </c>
      <c r="H16" s="149"/>
      <c r="I16" s="146">
        <f t="shared" si="0"/>
        <v>22.57</v>
      </c>
      <c r="J16" s="146">
        <f t="shared" si="1"/>
        <v>90.28</v>
      </c>
      <c r="K16" s="146">
        <f t="shared" si="2"/>
        <v>90.28</v>
      </c>
    </row>
    <row r="17" spans="1:11" s="21" customFormat="1" ht="30">
      <c r="A17" s="58" t="s">
        <v>536</v>
      </c>
      <c r="B17" s="11" t="s">
        <v>177</v>
      </c>
      <c r="C17" s="12" t="s">
        <v>4</v>
      </c>
      <c r="D17" s="12">
        <v>4</v>
      </c>
      <c r="E17" s="12">
        <v>4</v>
      </c>
      <c r="F17" s="149">
        <v>31.26</v>
      </c>
      <c r="G17" s="149">
        <v>37.450000000000003</v>
      </c>
      <c r="H17" s="149">
        <v>38.31</v>
      </c>
      <c r="I17" s="146">
        <f t="shared" si="0"/>
        <v>35.67</v>
      </c>
      <c r="J17" s="146">
        <f t="shared" si="1"/>
        <v>142.68</v>
      </c>
      <c r="K17" s="146">
        <f t="shared" si="2"/>
        <v>142.68</v>
      </c>
    </row>
    <row r="18" spans="1:11" s="21" customFormat="1" ht="30">
      <c r="A18" s="58" t="s">
        <v>537</v>
      </c>
      <c r="B18" s="11" t="s">
        <v>176</v>
      </c>
      <c r="C18" s="12" t="s">
        <v>4</v>
      </c>
      <c r="D18" s="12">
        <v>4</v>
      </c>
      <c r="E18" s="12">
        <v>4</v>
      </c>
      <c r="F18" s="149">
        <v>28.93</v>
      </c>
      <c r="G18" s="149">
        <v>28.57</v>
      </c>
      <c r="H18" s="149">
        <v>29.72</v>
      </c>
      <c r="I18" s="146">
        <f t="shared" si="0"/>
        <v>29.07</v>
      </c>
      <c r="J18" s="146">
        <f t="shared" si="1"/>
        <v>116.28</v>
      </c>
      <c r="K18" s="146">
        <f t="shared" si="2"/>
        <v>116.28</v>
      </c>
    </row>
    <row r="19" spans="1:11" s="21" customFormat="1" ht="30">
      <c r="A19" s="58" t="s">
        <v>538</v>
      </c>
      <c r="B19" s="11" t="s">
        <v>178</v>
      </c>
      <c r="C19" s="12" t="s">
        <v>4</v>
      </c>
      <c r="D19" s="12">
        <v>4</v>
      </c>
      <c r="E19" s="12">
        <v>4</v>
      </c>
      <c r="F19" s="149">
        <v>58.86</v>
      </c>
      <c r="G19" s="149">
        <v>44.59</v>
      </c>
      <c r="H19" s="149">
        <v>40.380000000000003</v>
      </c>
      <c r="I19" s="146">
        <f t="shared" si="0"/>
        <v>47.94</v>
      </c>
      <c r="J19" s="146">
        <f t="shared" si="1"/>
        <v>191.76</v>
      </c>
      <c r="K19" s="146">
        <f t="shared" si="2"/>
        <v>191.76</v>
      </c>
    </row>
    <row r="20" spans="1:11" s="21" customFormat="1" ht="45">
      <c r="A20" s="58" t="s">
        <v>539</v>
      </c>
      <c r="B20" s="11" t="s">
        <v>167</v>
      </c>
      <c r="C20" s="12" t="s">
        <v>4</v>
      </c>
      <c r="D20" s="12">
        <v>4</v>
      </c>
      <c r="E20" s="12">
        <v>4</v>
      </c>
      <c r="F20" s="149">
        <v>56.46</v>
      </c>
      <c r="G20" s="149">
        <v>33.22</v>
      </c>
      <c r="H20" s="149">
        <v>47.7</v>
      </c>
      <c r="I20" s="146">
        <f t="shared" si="0"/>
        <v>45.79</v>
      </c>
      <c r="J20" s="146">
        <f t="shared" si="1"/>
        <v>183.16</v>
      </c>
      <c r="K20" s="146">
        <f t="shared" si="2"/>
        <v>183.16</v>
      </c>
    </row>
    <row r="21" spans="1:11" s="21" customFormat="1" ht="45">
      <c r="A21" s="58" t="s">
        <v>540</v>
      </c>
      <c r="B21" s="11" t="s">
        <v>166</v>
      </c>
      <c r="C21" s="12" t="s">
        <v>4</v>
      </c>
      <c r="D21" s="12">
        <v>4</v>
      </c>
      <c r="E21" s="12">
        <v>4</v>
      </c>
      <c r="F21" s="149">
        <v>44.5</v>
      </c>
      <c r="G21" s="149">
        <v>26.18</v>
      </c>
      <c r="H21" s="149"/>
      <c r="I21" s="146">
        <f t="shared" si="0"/>
        <v>35.340000000000003</v>
      </c>
      <c r="J21" s="146">
        <f t="shared" si="1"/>
        <v>141.36000000000001</v>
      </c>
      <c r="K21" s="146">
        <f t="shared" si="2"/>
        <v>141.36000000000001</v>
      </c>
    </row>
    <row r="22" spans="1:11" s="21" customFormat="1">
      <c r="A22" s="46" t="s">
        <v>284</v>
      </c>
      <c r="B22" s="4" t="s">
        <v>139</v>
      </c>
      <c r="C22" s="5"/>
      <c r="D22" s="9"/>
      <c r="E22" s="9"/>
      <c r="F22" s="151"/>
      <c r="G22" s="151"/>
      <c r="H22" s="151"/>
      <c r="I22" s="151"/>
      <c r="J22" s="151"/>
      <c r="K22" s="152"/>
    </row>
    <row r="23" spans="1:11" s="21" customFormat="1" ht="30">
      <c r="A23" s="58" t="s">
        <v>285</v>
      </c>
      <c r="B23" s="11" t="s">
        <v>187</v>
      </c>
      <c r="C23" s="12" t="s">
        <v>4</v>
      </c>
      <c r="D23" s="12">
        <v>10</v>
      </c>
      <c r="E23" s="12">
        <v>10</v>
      </c>
      <c r="F23" s="149">
        <v>16.559999999999999</v>
      </c>
      <c r="G23" s="149"/>
      <c r="H23" s="149"/>
      <c r="I23" s="146">
        <f t="shared" ref="I23:I34" si="3">ROUND(AVERAGE(F23,G23,H23),2)</f>
        <v>16.559999999999999</v>
      </c>
      <c r="J23" s="146">
        <f t="shared" ref="J23:J34" si="4">I23*D23</f>
        <v>165.6</v>
      </c>
      <c r="K23" s="146">
        <f t="shared" ref="K23:K34" si="5">I23*E23</f>
        <v>165.6</v>
      </c>
    </row>
    <row r="24" spans="1:11" s="21" customFormat="1" ht="30">
      <c r="A24" s="58" t="s">
        <v>286</v>
      </c>
      <c r="B24" s="11" t="s">
        <v>180</v>
      </c>
      <c r="C24" s="12" t="s">
        <v>4</v>
      </c>
      <c r="D24" s="12">
        <f>4*1.5</f>
        <v>6</v>
      </c>
      <c r="E24" s="12">
        <f>4*1.5</f>
        <v>6</v>
      </c>
      <c r="F24" s="149">
        <v>22</v>
      </c>
      <c r="G24" s="149"/>
      <c r="H24" s="149"/>
      <c r="I24" s="146">
        <f t="shared" si="3"/>
        <v>22</v>
      </c>
      <c r="J24" s="146">
        <f t="shared" si="4"/>
        <v>132</v>
      </c>
      <c r="K24" s="146">
        <f t="shared" si="5"/>
        <v>132</v>
      </c>
    </row>
    <row r="25" spans="1:11" s="21" customFormat="1" ht="30">
      <c r="A25" s="58" t="s">
        <v>287</v>
      </c>
      <c r="B25" s="11" t="s">
        <v>188</v>
      </c>
      <c r="C25" s="12" t="s">
        <v>4</v>
      </c>
      <c r="D25" s="12">
        <v>7</v>
      </c>
      <c r="E25" s="12">
        <v>7</v>
      </c>
      <c r="F25" s="149">
        <v>17.989999999999998</v>
      </c>
      <c r="G25" s="149"/>
      <c r="H25" s="149"/>
      <c r="I25" s="146">
        <f t="shared" si="3"/>
        <v>17.989999999999998</v>
      </c>
      <c r="J25" s="146">
        <f t="shared" si="4"/>
        <v>125.92999999999999</v>
      </c>
      <c r="K25" s="146">
        <f t="shared" si="5"/>
        <v>125.92999999999999</v>
      </c>
    </row>
    <row r="26" spans="1:11" s="21" customFormat="1" ht="30">
      <c r="A26" s="58" t="s">
        <v>288</v>
      </c>
      <c r="B26" s="11" t="s">
        <v>189</v>
      </c>
      <c r="C26" s="12" t="s">
        <v>4</v>
      </c>
      <c r="D26" s="12">
        <v>4</v>
      </c>
      <c r="E26" s="12">
        <v>4</v>
      </c>
      <c r="F26" s="149">
        <v>21.99</v>
      </c>
      <c r="G26" s="149"/>
      <c r="H26" s="149"/>
      <c r="I26" s="146">
        <f t="shared" si="3"/>
        <v>21.99</v>
      </c>
      <c r="J26" s="146">
        <f t="shared" si="4"/>
        <v>87.96</v>
      </c>
      <c r="K26" s="146">
        <f t="shared" si="5"/>
        <v>87.96</v>
      </c>
    </row>
    <row r="27" spans="1:11" s="21" customFormat="1" ht="30">
      <c r="A27" s="58" t="s">
        <v>289</v>
      </c>
      <c r="B27" s="11" t="s">
        <v>185</v>
      </c>
      <c r="C27" s="12" t="s">
        <v>4</v>
      </c>
      <c r="D27" s="12">
        <v>5</v>
      </c>
      <c r="E27" s="12">
        <v>5</v>
      </c>
      <c r="F27" s="149">
        <v>17.989999999999998</v>
      </c>
      <c r="G27" s="149"/>
      <c r="H27" s="149"/>
      <c r="I27" s="146">
        <f t="shared" si="3"/>
        <v>17.989999999999998</v>
      </c>
      <c r="J27" s="146">
        <f t="shared" si="4"/>
        <v>89.949999999999989</v>
      </c>
      <c r="K27" s="146">
        <f t="shared" si="5"/>
        <v>89.949999999999989</v>
      </c>
    </row>
    <row r="28" spans="1:11" s="21" customFormat="1" ht="30">
      <c r="A28" s="58" t="s">
        <v>290</v>
      </c>
      <c r="B28" s="11" t="s">
        <v>186</v>
      </c>
      <c r="C28" s="12" t="s">
        <v>4</v>
      </c>
      <c r="D28" s="12">
        <v>3</v>
      </c>
      <c r="E28" s="12">
        <v>3</v>
      </c>
      <c r="F28" s="149">
        <v>21.99</v>
      </c>
      <c r="G28" s="149"/>
      <c r="H28" s="149"/>
      <c r="I28" s="146">
        <f t="shared" si="3"/>
        <v>21.99</v>
      </c>
      <c r="J28" s="146">
        <f t="shared" si="4"/>
        <v>65.97</v>
      </c>
      <c r="K28" s="146">
        <f t="shared" si="5"/>
        <v>65.97</v>
      </c>
    </row>
    <row r="29" spans="1:11" s="21" customFormat="1" ht="45">
      <c r="A29" s="58" t="s">
        <v>291</v>
      </c>
      <c r="B29" s="11" t="s">
        <v>182</v>
      </c>
      <c r="C29" s="12" t="s">
        <v>4</v>
      </c>
      <c r="D29" s="12">
        <v>6</v>
      </c>
      <c r="E29" s="12">
        <v>6</v>
      </c>
      <c r="F29" s="149">
        <v>24.5</v>
      </c>
      <c r="G29" s="149"/>
      <c r="H29" s="149"/>
      <c r="I29" s="146">
        <f t="shared" si="3"/>
        <v>24.5</v>
      </c>
      <c r="J29" s="146">
        <f t="shared" si="4"/>
        <v>147</v>
      </c>
      <c r="K29" s="146">
        <f t="shared" si="5"/>
        <v>147</v>
      </c>
    </row>
    <row r="30" spans="1:11" s="21" customFormat="1" ht="45">
      <c r="A30" s="58" t="s">
        <v>292</v>
      </c>
      <c r="B30" s="11" t="s">
        <v>181</v>
      </c>
      <c r="C30" s="12" t="s">
        <v>4</v>
      </c>
      <c r="D30" s="12">
        <v>10</v>
      </c>
      <c r="E30" s="12">
        <v>10</v>
      </c>
      <c r="F30" s="149">
        <v>17.16</v>
      </c>
      <c r="G30" s="149">
        <v>14.95</v>
      </c>
      <c r="H30" s="149"/>
      <c r="I30" s="146">
        <f t="shared" si="3"/>
        <v>16.059999999999999</v>
      </c>
      <c r="J30" s="146">
        <f t="shared" si="4"/>
        <v>160.6</v>
      </c>
      <c r="K30" s="146">
        <f t="shared" si="5"/>
        <v>160.6</v>
      </c>
    </row>
    <row r="31" spans="1:11" s="21" customFormat="1" ht="45">
      <c r="A31" s="58" t="s">
        <v>293</v>
      </c>
      <c r="B31" s="11" t="s">
        <v>183</v>
      </c>
      <c r="C31" s="12" t="s">
        <v>4</v>
      </c>
      <c r="D31" s="12">
        <v>5</v>
      </c>
      <c r="E31" s="12">
        <v>5</v>
      </c>
      <c r="F31" s="149">
        <v>16.8</v>
      </c>
      <c r="G31" s="149"/>
      <c r="H31" s="149"/>
      <c r="I31" s="146">
        <f t="shared" si="3"/>
        <v>16.8</v>
      </c>
      <c r="J31" s="146">
        <f t="shared" si="4"/>
        <v>84</v>
      </c>
      <c r="K31" s="146">
        <f t="shared" si="5"/>
        <v>84</v>
      </c>
    </row>
    <row r="32" spans="1:11" s="21" customFormat="1" ht="45">
      <c r="A32" s="58" t="s">
        <v>294</v>
      </c>
      <c r="B32" s="11" t="s">
        <v>184</v>
      </c>
      <c r="C32" s="12" t="s">
        <v>4</v>
      </c>
      <c r="D32" s="12">
        <v>3</v>
      </c>
      <c r="E32" s="12">
        <v>3</v>
      </c>
      <c r="F32" s="149">
        <v>27.46</v>
      </c>
      <c r="G32" s="149"/>
      <c r="H32" s="149"/>
      <c r="I32" s="146">
        <f t="shared" si="3"/>
        <v>27.46</v>
      </c>
      <c r="J32" s="146">
        <f t="shared" si="4"/>
        <v>82.38</v>
      </c>
      <c r="K32" s="146">
        <f t="shared" si="5"/>
        <v>82.38</v>
      </c>
    </row>
    <row r="33" spans="1:11" s="21" customFormat="1" ht="30">
      <c r="A33" s="58" t="s">
        <v>295</v>
      </c>
      <c r="B33" s="11" t="s">
        <v>62</v>
      </c>
      <c r="C33" s="12" t="s">
        <v>4</v>
      </c>
      <c r="D33" s="12">
        <v>1</v>
      </c>
      <c r="E33" s="12">
        <v>1</v>
      </c>
      <c r="F33" s="149">
        <v>44.9</v>
      </c>
      <c r="G33" s="149"/>
      <c r="H33" s="149"/>
      <c r="I33" s="146">
        <f t="shared" si="3"/>
        <v>44.9</v>
      </c>
      <c r="J33" s="146">
        <f t="shared" si="4"/>
        <v>44.9</v>
      </c>
      <c r="K33" s="146">
        <f t="shared" si="5"/>
        <v>44.9</v>
      </c>
    </row>
    <row r="34" spans="1:11" s="21" customFormat="1" ht="30">
      <c r="A34" s="58" t="s">
        <v>296</v>
      </c>
      <c r="B34" s="11" t="s">
        <v>63</v>
      </c>
      <c r="C34" s="12" t="s">
        <v>4</v>
      </c>
      <c r="D34" s="12">
        <v>1</v>
      </c>
      <c r="E34" s="12">
        <v>1</v>
      </c>
      <c r="F34" s="149">
        <v>54.99</v>
      </c>
      <c r="G34" s="149"/>
      <c r="H34" s="149"/>
      <c r="I34" s="146">
        <f t="shared" si="3"/>
        <v>54.99</v>
      </c>
      <c r="J34" s="146">
        <f t="shared" si="4"/>
        <v>54.99</v>
      </c>
      <c r="K34" s="146">
        <f t="shared" si="5"/>
        <v>54.99</v>
      </c>
    </row>
    <row r="35" spans="1:11" s="21" customFormat="1">
      <c r="A35" s="46" t="s">
        <v>297</v>
      </c>
      <c r="B35" s="4" t="s">
        <v>138</v>
      </c>
      <c r="C35" s="5"/>
      <c r="D35" s="9"/>
      <c r="E35" s="9"/>
      <c r="F35" s="151"/>
      <c r="G35" s="151"/>
      <c r="H35" s="151"/>
      <c r="I35" s="151"/>
      <c r="J35" s="151"/>
      <c r="K35" s="152"/>
    </row>
    <row r="36" spans="1:11" s="21" customFormat="1" ht="30">
      <c r="A36" s="72" t="s">
        <v>298</v>
      </c>
      <c r="B36" s="11" t="s">
        <v>95</v>
      </c>
      <c r="C36" s="12" t="s">
        <v>77</v>
      </c>
      <c r="D36" s="13">
        <v>48</v>
      </c>
      <c r="E36" s="13">
        <v>48</v>
      </c>
      <c r="F36" s="149">
        <v>2.99</v>
      </c>
      <c r="G36" s="149">
        <v>2.1</v>
      </c>
      <c r="H36" s="149">
        <v>1.99</v>
      </c>
      <c r="I36" s="146">
        <f t="shared" ref="I36" si="6">ROUND(AVERAGE(F36,G36,H36),2)</f>
        <v>2.36</v>
      </c>
      <c r="J36" s="146">
        <f t="shared" ref="J36" si="7">I36*D36</f>
        <v>113.28</v>
      </c>
      <c r="K36" s="146">
        <f t="shared" ref="K36" si="8">I36*E36</f>
        <v>113.28</v>
      </c>
    </row>
    <row r="37" spans="1:11" s="21" customFormat="1" ht="45">
      <c r="A37" s="72" t="s">
        <v>300</v>
      </c>
      <c r="B37" s="11" t="s">
        <v>147</v>
      </c>
      <c r="C37" s="12" t="s">
        <v>4</v>
      </c>
      <c r="D37" s="12">
        <v>2</v>
      </c>
      <c r="E37" s="12">
        <v>2</v>
      </c>
      <c r="F37" s="149">
        <v>31.9</v>
      </c>
      <c r="G37" s="149">
        <v>18.239999999999998</v>
      </c>
      <c r="H37" s="149">
        <v>31</v>
      </c>
      <c r="I37" s="146">
        <f t="shared" ref="I37:I59" si="9">ROUND(AVERAGE(F37,G37,H37),2)</f>
        <v>27.05</v>
      </c>
      <c r="J37" s="146">
        <f t="shared" ref="J37:J59" si="10">I37*D37</f>
        <v>54.1</v>
      </c>
      <c r="K37" s="146">
        <f t="shared" ref="K37:K59" si="11">I37*E37</f>
        <v>54.1</v>
      </c>
    </row>
    <row r="38" spans="1:11" s="21" customFormat="1" ht="30">
      <c r="A38" s="72" t="s">
        <v>301</v>
      </c>
      <c r="B38" s="11" t="s">
        <v>132</v>
      </c>
      <c r="C38" s="12" t="s">
        <v>4</v>
      </c>
      <c r="D38" s="12">
        <v>1</v>
      </c>
      <c r="E38" s="12">
        <v>1</v>
      </c>
      <c r="F38" s="149">
        <v>26.3</v>
      </c>
      <c r="G38" s="149">
        <v>37.299999999999997</v>
      </c>
      <c r="H38" s="149">
        <v>17.5</v>
      </c>
      <c r="I38" s="146">
        <f t="shared" si="9"/>
        <v>27.03</v>
      </c>
      <c r="J38" s="146">
        <f t="shared" si="10"/>
        <v>27.03</v>
      </c>
      <c r="K38" s="146">
        <f t="shared" si="11"/>
        <v>27.03</v>
      </c>
    </row>
    <row r="39" spans="1:11" s="21" customFormat="1" ht="45">
      <c r="A39" s="72" t="s">
        <v>541</v>
      </c>
      <c r="B39" s="11" t="s">
        <v>146</v>
      </c>
      <c r="C39" s="12" t="s">
        <v>61</v>
      </c>
      <c r="D39" s="12">
        <v>3</v>
      </c>
      <c r="E39" s="12">
        <v>3</v>
      </c>
      <c r="F39" s="149">
        <v>39.9</v>
      </c>
      <c r="G39" s="149"/>
      <c r="H39" s="149"/>
      <c r="I39" s="146">
        <f t="shared" si="9"/>
        <v>39.9</v>
      </c>
      <c r="J39" s="146">
        <f t="shared" si="10"/>
        <v>119.69999999999999</v>
      </c>
      <c r="K39" s="146">
        <f t="shared" si="11"/>
        <v>119.69999999999999</v>
      </c>
    </row>
    <row r="40" spans="1:11" s="21" customFormat="1" ht="30">
      <c r="A40" s="72" t="s">
        <v>542</v>
      </c>
      <c r="B40" s="11" t="s">
        <v>76</v>
      </c>
      <c r="C40" s="12" t="s">
        <v>77</v>
      </c>
      <c r="D40" s="12">
        <v>10</v>
      </c>
      <c r="E40" s="12">
        <v>10</v>
      </c>
      <c r="F40" s="149">
        <v>13.64</v>
      </c>
      <c r="G40" s="149">
        <v>9.9</v>
      </c>
      <c r="H40" s="149">
        <v>10.3</v>
      </c>
      <c r="I40" s="146">
        <f t="shared" si="9"/>
        <v>11.28</v>
      </c>
      <c r="J40" s="146">
        <f t="shared" si="10"/>
        <v>112.8</v>
      </c>
      <c r="K40" s="146">
        <f t="shared" si="11"/>
        <v>112.8</v>
      </c>
    </row>
    <row r="41" spans="1:11" s="21" customFormat="1" ht="30">
      <c r="A41" s="72" t="s">
        <v>543</v>
      </c>
      <c r="B41" s="11" t="s">
        <v>74</v>
      </c>
      <c r="C41" s="12" t="s">
        <v>77</v>
      </c>
      <c r="D41" s="12">
        <v>15</v>
      </c>
      <c r="E41" s="12">
        <v>15</v>
      </c>
      <c r="F41" s="149">
        <v>15.4</v>
      </c>
      <c r="G41" s="149">
        <v>32</v>
      </c>
      <c r="H41" s="149">
        <v>18.47</v>
      </c>
      <c r="I41" s="146">
        <f t="shared" si="9"/>
        <v>21.96</v>
      </c>
      <c r="J41" s="146">
        <f t="shared" si="10"/>
        <v>329.40000000000003</v>
      </c>
      <c r="K41" s="146">
        <f t="shared" si="11"/>
        <v>329.40000000000003</v>
      </c>
    </row>
    <row r="42" spans="1:11" s="21" customFormat="1" ht="30">
      <c r="A42" s="72" t="s">
        <v>544</v>
      </c>
      <c r="B42" s="11" t="s">
        <v>75</v>
      </c>
      <c r="C42" s="12" t="s">
        <v>77</v>
      </c>
      <c r="D42" s="12">
        <v>10</v>
      </c>
      <c r="E42" s="12">
        <v>10</v>
      </c>
      <c r="F42" s="149">
        <v>23.49</v>
      </c>
      <c r="G42" s="149">
        <v>47.06</v>
      </c>
      <c r="H42" s="149">
        <v>51.86</v>
      </c>
      <c r="I42" s="146">
        <f t="shared" si="9"/>
        <v>40.799999999999997</v>
      </c>
      <c r="J42" s="146">
        <f t="shared" si="10"/>
        <v>408</v>
      </c>
      <c r="K42" s="146">
        <f t="shared" si="11"/>
        <v>408</v>
      </c>
    </row>
    <row r="43" spans="1:11" s="21" customFormat="1" ht="30">
      <c r="A43" s="72" t="s">
        <v>545</v>
      </c>
      <c r="B43" s="11" t="s">
        <v>79</v>
      </c>
      <c r="C43" s="12" t="s">
        <v>77</v>
      </c>
      <c r="D43" s="12">
        <v>20</v>
      </c>
      <c r="E43" s="12">
        <v>20</v>
      </c>
      <c r="F43" s="149">
        <v>82.88</v>
      </c>
      <c r="G43" s="149">
        <v>47.99</v>
      </c>
      <c r="H43" s="149">
        <v>41.9</v>
      </c>
      <c r="I43" s="146">
        <f t="shared" si="9"/>
        <v>57.59</v>
      </c>
      <c r="J43" s="146">
        <f t="shared" si="10"/>
        <v>1151.8000000000002</v>
      </c>
      <c r="K43" s="146">
        <f t="shared" si="11"/>
        <v>1151.8000000000002</v>
      </c>
    </row>
    <row r="44" spans="1:11" s="21" customFormat="1" ht="30">
      <c r="A44" s="72" t="s">
        <v>546</v>
      </c>
      <c r="B44" s="11" t="s">
        <v>78</v>
      </c>
      <c r="C44" s="12" t="s">
        <v>77</v>
      </c>
      <c r="D44" s="12">
        <v>3</v>
      </c>
      <c r="E44" s="12">
        <v>3</v>
      </c>
      <c r="F44" s="149">
        <v>64.989999999999995</v>
      </c>
      <c r="G44" s="149">
        <v>65.31</v>
      </c>
      <c r="H44" s="149">
        <v>84.39</v>
      </c>
      <c r="I44" s="146">
        <f t="shared" si="9"/>
        <v>71.56</v>
      </c>
      <c r="J44" s="146">
        <f t="shared" si="10"/>
        <v>214.68</v>
      </c>
      <c r="K44" s="146">
        <f t="shared" si="11"/>
        <v>214.68</v>
      </c>
    </row>
    <row r="45" spans="1:11" s="21" customFormat="1" ht="45">
      <c r="A45" s="72" t="s">
        <v>547</v>
      </c>
      <c r="B45" s="11" t="s">
        <v>677</v>
      </c>
      <c r="C45" s="12" t="s">
        <v>106</v>
      </c>
      <c r="D45" s="12">
        <v>2</v>
      </c>
      <c r="E45" s="12">
        <v>2</v>
      </c>
      <c r="F45" s="149">
        <v>91.84</v>
      </c>
      <c r="G45" s="149">
        <v>108.21</v>
      </c>
      <c r="H45" s="149">
        <v>115.36</v>
      </c>
      <c r="I45" s="146">
        <f t="shared" si="9"/>
        <v>105.14</v>
      </c>
      <c r="J45" s="146">
        <f t="shared" si="10"/>
        <v>210.28</v>
      </c>
      <c r="K45" s="146">
        <f t="shared" si="11"/>
        <v>210.28</v>
      </c>
    </row>
    <row r="46" spans="1:11" s="21" customFormat="1" ht="45">
      <c r="A46" s="72" t="s">
        <v>548</v>
      </c>
      <c r="B46" s="11" t="s">
        <v>678</v>
      </c>
      <c r="C46" s="12" t="s">
        <v>106</v>
      </c>
      <c r="D46" s="12">
        <v>5</v>
      </c>
      <c r="E46" s="12">
        <v>5</v>
      </c>
      <c r="F46" s="149">
        <v>70.11</v>
      </c>
      <c r="G46" s="149">
        <v>65.11</v>
      </c>
      <c r="H46" s="149"/>
      <c r="I46" s="146">
        <f t="shared" si="9"/>
        <v>67.61</v>
      </c>
      <c r="J46" s="146">
        <f t="shared" si="10"/>
        <v>338.05</v>
      </c>
      <c r="K46" s="146">
        <f t="shared" si="11"/>
        <v>338.05</v>
      </c>
    </row>
    <row r="47" spans="1:11" s="21" customFormat="1" ht="30">
      <c r="A47" s="72" t="s">
        <v>549</v>
      </c>
      <c r="B47" s="11" t="s">
        <v>679</v>
      </c>
      <c r="C47" s="12" t="s">
        <v>106</v>
      </c>
      <c r="D47" s="12">
        <v>5</v>
      </c>
      <c r="E47" s="12">
        <v>5</v>
      </c>
      <c r="F47" s="149">
        <v>129.99</v>
      </c>
      <c r="G47" s="149"/>
      <c r="H47" s="149"/>
      <c r="I47" s="146">
        <f t="shared" si="9"/>
        <v>129.99</v>
      </c>
      <c r="J47" s="146">
        <f t="shared" si="10"/>
        <v>649.95000000000005</v>
      </c>
      <c r="K47" s="146">
        <f t="shared" si="11"/>
        <v>649.95000000000005</v>
      </c>
    </row>
    <row r="48" spans="1:11" s="21" customFormat="1" ht="30">
      <c r="A48" s="72" t="s">
        <v>550</v>
      </c>
      <c r="B48" s="11" t="s">
        <v>479</v>
      </c>
      <c r="C48" s="12" t="s">
        <v>480</v>
      </c>
      <c r="D48" s="12">
        <f>2/12</f>
        <v>0.16666666666666666</v>
      </c>
      <c r="E48" s="12">
        <f>2/12</f>
        <v>0.16666666666666666</v>
      </c>
      <c r="F48" s="149">
        <v>110.9</v>
      </c>
      <c r="G48" s="149"/>
      <c r="H48" s="149"/>
      <c r="I48" s="146">
        <f t="shared" si="9"/>
        <v>110.9</v>
      </c>
      <c r="J48" s="146">
        <f t="shared" si="10"/>
        <v>18.483333333333334</v>
      </c>
      <c r="K48" s="146">
        <f t="shared" si="11"/>
        <v>18.483333333333334</v>
      </c>
    </row>
    <row r="49" spans="1:11" s="21" customFormat="1" ht="60">
      <c r="A49" s="46" t="s">
        <v>361</v>
      </c>
      <c r="B49" s="4" t="s">
        <v>638</v>
      </c>
      <c r="C49" s="5"/>
      <c r="D49" s="9"/>
      <c r="E49" s="9"/>
      <c r="F49" s="151"/>
      <c r="G49" s="151"/>
      <c r="H49" s="151"/>
      <c r="I49" s="151"/>
      <c r="J49" s="151"/>
      <c r="K49" s="151"/>
    </row>
    <row r="50" spans="1:11" s="21" customFormat="1" ht="45">
      <c r="A50" s="72" t="s">
        <v>302</v>
      </c>
      <c r="B50" s="11" t="s">
        <v>486</v>
      </c>
      <c r="C50" s="12" t="s">
        <v>480</v>
      </c>
      <c r="D50" s="13">
        <f>(19+50/12)*1.2</f>
        <v>27.8</v>
      </c>
      <c r="E50" s="13">
        <f>(19+50/12)*1.2</f>
        <v>27.8</v>
      </c>
      <c r="F50" s="149">
        <v>116</v>
      </c>
      <c r="G50" s="149"/>
      <c r="H50" s="149"/>
      <c r="I50" s="146">
        <f t="shared" si="9"/>
        <v>116</v>
      </c>
      <c r="J50" s="146">
        <f t="shared" si="10"/>
        <v>3224.8</v>
      </c>
      <c r="K50" s="146">
        <f t="shared" si="11"/>
        <v>3224.8</v>
      </c>
    </row>
    <row r="51" spans="1:11" s="21" customFormat="1" ht="60">
      <c r="A51" s="72" t="s">
        <v>303</v>
      </c>
      <c r="B51" s="11" t="s">
        <v>487</v>
      </c>
      <c r="C51" s="12" t="s">
        <v>480</v>
      </c>
      <c r="D51" s="13">
        <f>(8+40/12)*1.2</f>
        <v>13.6</v>
      </c>
      <c r="E51" s="13">
        <f>(8+40/12)*1.2</f>
        <v>13.6</v>
      </c>
      <c r="F51" s="149">
        <v>530.5</v>
      </c>
      <c r="G51" s="149"/>
      <c r="H51" s="149"/>
      <c r="I51" s="146">
        <f t="shared" si="9"/>
        <v>530.5</v>
      </c>
      <c r="J51" s="146">
        <f t="shared" si="10"/>
        <v>7214.8</v>
      </c>
      <c r="K51" s="146">
        <f t="shared" si="11"/>
        <v>7214.8</v>
      </c>
    </row>
    <row r="52" spans="1:11" s="21" customFormat="1" ht="60">
      <c r="A52" s="72" t="s">
        <v>304</v>
      </c>
      <c r="B52" s="11" t="s">
        <v>488</v>
      </c>
      <c r="C52" s="12" t="s">
        <v>4</v>
      </c>
      <c r="D52" s="13">
        <f>(25+60/12)*1.2</f>
        <v>36</v>
      </c>
      <c r="E52" s="13">
        <f>(25+60/12)*1.2</f>
        <v>36</v>
      </c>
      <c r="F52" s="149">
        <v>36</v>
      </c>
      <c r="G52" s="149"/>
      <c r="H52" s="149"/>
      <c r="I52" s="146">
        <f t="shared" si="9"/>
        <v>36</v>
      </c>
      <c r="J52" s="146">
        <f t="shared" si="10"/>
        <v>1296</v>
      </c>
      <c r="K52" s="146">
        <f t="shared" si="11"/>
        <v>1296</v>
      </c>
    </row>
    <row r="53" spans="1:11" s="21" customFormat="1">
      <c r="A53" s="46" t="s">
        <v>305</v>
      </c>
      <c r="B53" s="4" t="s">
        <v>154</v>
      </c>
      <c r="C53" s="5"/>
      <c r="D53" s="9"/>
      <c r="E53" s="9"/>
      <c r="F53" s="151"/>
      <c r="G53" s="151"/>
      <c r="H53" s="151"/>
      <c r="I53" s="151"/>
      <c r="J53" s="151"/>
      <c r="K53" s="151"/>
    </row>
    <row r="54" spans="1:11" s="21" customFormat="1" ht="45">
      <c r="A54" s="58" t="s">
        <v>306</v>
      </c>
      <c r="B54" s="11" t="s">
        <v>119</v>
      </c>
      <c r="C54" s="12" t="s">
        <v>77</v>
      </c>
      <c r="D54" s="12">
        <v>0.6</v>
      </c>
      <c r="E54" s="12">
        <v>0.6</v>
      </c>
      <c r="F54" s="149">
        <v>220</v>
      </c>
      <c r="G54" s="149">
        <v>196</v>
      </c>
      <c r="H54" s="149"/>
      <c r="I54" s="146">
        <f t="shared" si="9"/>
        <v>208</v>
      </c>
      <c r="J54" s="146">
        <f t="shared" si="10"/>
        <v>124.8</v>
      </c>
      <c r="K54" s="146">
        <f t="shared" si="11"/>
        <v>124.8</v>
      </c>
    </row>
    <row r="55" spans="1:11" s="21" customFormat="1" ht="45">
      <c r="A55" s="58" t="s">
        <v>307</v>
      </c>
      <c r="B55" s="11" t="s">
        <v>118</v>
      </c>
      <c r="C55" s="12" t="s">
        <v>77</v>
      </c>
      <c r="D55" s="12">
        <v>0.6</v>
      </c>
      <c r="E55" s="12">
        <v>0.6</v>
      </c>
      <c r="F55" s="149">
        <v>89.6</v>
      </c>
      <c r="G55" s="149"/>
      <c r="H55" s="149"/>
      <c r="I55" s="146">
        <f t="shared" si="9"/>
        <v>89.6</v>
      </c>
      <c r="J55" s="146">
        <f t="shared" si="10"/>
        <v>53.76</v>
      </c>
      <c r="K55" s="146">
        <f t="shared" si="11"/>
        <v>53.76</v>
      </c>
    </row>
    <row r="56" spans="1:11" s="21" customFormat="1" ht="45">
      <c r="A56" s="58" t="s">
        <v>308</v>
      </c>
      <c r="B56" s="11" t="s">
        <v>393</v>
      </c>
      <c r="C56" s="12" t="s">
        <v>77</v>
      </c>
      <c r="D56" s="12">
        <v>1</v>
      </c>
      <c r="E56" s="12">
        <v>1</v>
      </c>
      <c r="F56" s="149">
        <v>175</v>
      </c>
      <c r="G56" s="149"/>
      <c r="H56" s="149"/>
      <c r="I56" s="146">
        <f t="shared" si="9"/>
        <v>175</v>
      </c>
      <c r="J56" s="146">
        <f t="shared" si="10"/>
        <v>175</v>
      </c>
      <c r="K56" s="146">
        <f t="shared" si="11"/>
        <v>175</v>
      </c>
    </row>
    <row r="57" spans="1:11" s="21" customFormat="1" ht="30">
      <c r="A57" s="58" t="s">
        <v>309</v>
      </c>
      <c r="B57" s="11" t="s">
        <v>96</v>
      </c>
      <c r="C57" s="12" t="s">
        <v>4</v>
      </c>
      <c r="D57" s="13">
        <v>2</v>
      </c>
      <c r="E57" s="13">
        <v>2</v>
      </c>
      <c r="F57" s="149">
        <v>2.34</v>
      </c>
      <c r="G57" s="149">
        <v>1.59</v>
      </c>
      <c r="H57" s="149">
        <v>2.34</v>
      </c>
      <c r="I57" s="146">
        <f t="shared" si="9"/>
        <v>2.09</v>
      </c>
      <c r="J57" s="146">
        <f t="shared" si="10"/>
        <v>4.18</v>
      </c>
      <c r="K57" s="146">
        <f t="shared" si="11"/>
        <v>4.18</v>
      </c>
    </row>
    <row r="58" spans="1:11" s="21" customFormat="1" ht="45">
      <c r="A58" s="58" t="s">
        <v>310</v>
      </c>
      <c r="B58" s="11" t="s">
        <v>719</v>
      </c>
      <c r="C58" s="12" t="s">
        <v>77</v>
      </c>
      <c r="D58" s="12">
        <v>2</v>
      </c>
      <c r="E58" s="12">
        <v>2</v>
      </c>
      <c r="F58" s="149">
        <f>2*68.89</f>
        <v>137.78</v>
      </c>
      <c r="G58" s="149">
        <v>95.76</v>
      </c>
      <c r="H58" s="149">
        <v>57</v>
      </c>
      <c r="I58" s="146">
        <f t="shared" si="9"/>
        <v>96.85</v>
      </c>
      <c r="J58" s="146">
        <f t="shared" si="10"/>
        <v>193.7</v>
      </c>
      <c r="K58" s="146">
        <f t="shared" si="11"/>
        <v>193.7</v>
      </c>
    </row>
    <row r="59" spans="1:11" s="21" customFormat="1" ht="30">
      <c r="A59" s="58" t="s">
        <v>489</v>
      </c>
      <c r="B59" s="11" t="s">
        <v>97</v>
      </c>
      <c r="C59" s="12" t="s">
        <v>4</v>
      </c>
      <c r="D59" s="13">
        <v>2</v>
      </c>
      <c r="E59" s="13">
        <v>2</v>
      </c>
      <c r="F59" s="149">
        <v>3.2</v>
      </c>
      <c r="G59" s="149">
        <v>1.95</v>
      </c>
      <c r="H59" s="149"/>
      <c r="I59" s="146">
        <f t="shared" si="9"/>
        <v>2.58</v>
      </c>
      <c r="J59" s="146">
        <f t="shared" si="10"/>
        <v>5.16</v>
      </c>
      <c r="K59" s="146">
        <f t="shared" si="11"/>
        <v>5.16</v>
      </c>
    </row>
    <row r="60" spans="1:11" s="21" customFormat="1">
      <c r="A60" s="46" t="s">
        <v>311</v>
      </c>
      <c r="B60" s="4" t="s">
        <v>137</v>
      </c>
      <c r="C60" s="5"/>
      <c r="D60" s="9"/>
      <c r="E60" s="9"/>
      <c r="F60" s="151"/>
      <c r="G60" s="151"/>
      <c r="H60" s="151"/>
      <c r="I60" s="151"/>
      <c r="J60" s="151"/>
      <c r="K60" s="152"/>
    </row>
    <row r="61" spans="1:11" s="22" customFormat="1" ht="60">
      <c r="A61" s="58" t="s">
        <v>312</v>
      </c>
      <c r="B61" s="11" t="s">
        <v>58</v>
      </c>
      <c r="C61" s="12" t="s">
        <v>4</v>
      </c>
      <c r="D61" s="13">
        <v>2</v>
      </c>
      <c r="E61" s="13">
        <v>2</v>
      </c>
      <c r="F61" s="149">
        <v>42</v>
      </c>
      <c r="G61" s="149">
        <v>46.5</v>
      </c>
      <c r="H61" s="149">
        <v>48.78</v>
      </c>
      <c r="I61" s="146">
        <f t="shared" ref="I61:I84" si="12">ROUND(AVERAGE(F61,G61,H61),2)</f>
        <v>45.76</v>
      </c>
      <c r="J61" s="146">
        <f t="shared" ref="J61:J84" si="13">I61*D61</f>
        <v>91.52</v>
      </c>
      <c r="K61" s="146">
        <f t="shared" ref="K61:K84" si="14">I61*E61</f>
        <v>91.52</v>
      </c>
    </row>
    <row r="62" spans="1:11" s="21" customFormat="1" ht="30">
      <c r="A62" s="58" t="s">
        <v>313</v>
      </c>
      <c r="B62" s="11" t="s">
        <v>60</v>
      </c>
      <c r="C62" s="12" t="s">
        <v>59</v>
      </c>
      <c r="D62" s="13">
        <v>30</v>
      </c>
      <c r="E62" s="13">
        <v>30</v>
      </c>
      <c r="F62" s="149">
        <v>6</v>
      </c>
      <c r="G62" s="149">
        <v>5.29</v>
      </c>
      <c r="H62" s="149">
        <v>5.25</v>
      </c>
      <c r="I62" s="146">
        <f t="shared" si="12"/>
        <v>5.51</v>
      </c>
      <c r="J62" s="146">
        <f t="shared" si="13"/>
        <v>165.29999999999998</v>
      </c>
      <c r="K62" s="146">
        <f t="shared" si="14"/>
        <v>165.29999999999998</v>
      </c>
    </row>
    <row r="63" spans="1:11" s="21" customFormat="1" ht="75">
      <c r="A63" s="58" t="s">
        <v>314</v>
      </c>
      <c r="B63" s="11" t="s">
        <v>391</v>
      </c>
      <c r="C63" s="12" t="s">
        <v>82</v>
      </c>
      <c r="D63" s="13">
        <v>1</v>
      </c>
      <c r="E63" s="13">
        <v>1</v>
      </c>
      <c r="F63" s="149">
        <v>100</v>
      </c>
      <c r="G63" s="149"/>
      <c r="H63" s="149"/>
      <c r="I63" s="146">
        <f t="shared" si="12"/>
        <v>100</v>
      </c>
      <c r="J63" s="146">
        <f t="shared" si="13"/>
        <v>100</v>
      </c>
      <c r="K63" s="146">
        <f t="shared" si="14"/>
        <v>100</v>
      </c>
    </row>
    <row r="64" spans="1:11" s="21" customFormat="1" ht="45">
      <c r="A64" s="58" t="s">
        <v>315</v>
      </c>
      <c r="B64" s="11" t="s">
        <v>394</v>
      </c>
      <c r="C64" s="12" t="s">
        <v>82</v>
      </c>
      <c r="D64" s="12">
        <v>1</v>
      </c>
      <c r="E64" s="12">
        <v>1</v>
      </c>
      <c r="F64" s="149">
        <v>150</v>
      </c>
      <c r="G64" s="149"/>
      <c r="H64" s="149"/>
      <c r="I64" s="146">
        <f t="shared" si="12"/>
        <v>150</v>
      </c>
      <c r="J64" s="146">
        <f t="shared" si="13"/>
        <v>150</v>
      </c>
      <c r="K64" s="146">
        <f t="shared" si="14"/>
        <v>150</v>
      </c>
    </row>
    <row r="65" spans="1:11" s="21" customFormat="1" ht="30">
      <c r="A65" s="58" t="s">
        <v>316</v>
      </c>
      <c r="B65" s="11" t="s">
        <v>390</v>
      </c>
      <c r="C65" s="12" t="s">
        <v>4</v>
      </c>
      <c r="D65" s="13">
        <v>0.5</v>
      </c>
      <c r="E65" s="13">
        <v>0.5</v>
      </c>
      <c r="F65" s="149">
        <v>110</v>
      </c>
      <c r="G65" s="149"/>
      <c r="H65" s="149"/>
      <c r="I65" s="146">
        <f t="shared" si="12"/>
        <v>110</v>
      </c>
      <c r="J65" s="146">
        <f t="shared" si="13"/>
        <v>55</v>
      </c>
      <c r="K65" s="146">
        <f t="shared" si="14"/>
        <v>55</v>
      </c>
    </row>
    <row r="66" spans="1:11" s="21" customFormat="1" ht="30">
      <c r="A66" s="58" t="s">
        <v>551</v>
      </c>
      <c r="B66" s="11" t="s">
        <v>94</v>
      </c>
      <c r="C66" s="12" t="s">
        <v>4</v>
      </c>
      <c r="D66" s="12">
        <v>15</v>
      </c>
      <c r="E66" s="12">
        <v>15</v>
      </c>
      <c r="F66" s="149">
        <v>7.49</v>
      </c>
      <c r="G66" s="149">
        <v>10.99</v>
      </c>
      <c r="H66" s="149">
        <v>11.21</v>
      </c>
      <c r="I66" s="146">
        <f t="shared" si="12"/>
        <v>9.9</v>
      </c>
      <c r="J66" s="146">
        <f t="shared" si="13"/>
        <v>148.5</v>
      </c>
      <c r="K66" s="146">
        <f t="shared" si="14"/>
        <v>148.5</v>
      </c>
    </row>
    <row r="67" spans="1:11" s="21" customFormat="1" ht="45">
      <c r="A67" s="58" t="s">
        <v>552</v>
      </c>
      <c r="B67" s="11" t="s">
        <v>120</v>
      </c>
      <c r="C67" s="12" t="s">
        <v>82</v>
      </c>
      <c r="D67" s="12">
        <v>1</v>
      </c>
      <c r="E67" s="12">
        <v>1</v>
      </c>
      <c r="F67" s="149">
        <v>78.75</v>
      </c>
      <c r="G67" s="149"/>
      <c r="H67" s="149"/>
      <c r="I67" s="146">
        <f t="shared" si="12"/>
        <v>78.75</v>
      </c>
      <c r="J67" s="146">
        <f t="shared" si="13"/>
        <v>78.75</v>
      </c>
      <c r="K67" s="146">
        <f t="shared" si="14"/>
        <v>78.75</v>
      </c>
    </row>
    <row r="68" spans="1:11" s="21" customFormat="1" ht="30">
      <c r="A68" s="58" t="s">
        <v>553</v>
      </c>
      <c r="B68" s="11" t="s">
        <v>392</v>
      </c>
      <c r="C68" s="12" t="s">
        <v>82</v>
      </c>
      <c r="D68" s="12">
        <v>5</v>
      </c>
      <c r="E68" s="12">
        <v>5</v>
      </c>
      <c r="F68" s="149">
        <v>12</v>
      </c>
      <c r="G68" s="149">
        <v>17.690000000000001</v>
      </c>
      <c r="H68" s="149">
        <v>18.82</v>
      </c>
      <c r="I68" s="146">
        <f t="shared" si="12"/>
        <v>16.170000000000002</v>
      </c>
      <c r="J68" s="146">
        <f t="shared" si="13"/>
        <v>80.850000000000009</v>
      </c>
      <c r="K68" s="146">
        <f t="shared" si="14"/>
        <v>80.850000000000009</v>
      </c>
    </row>
    <row r="69" spans="1:11" s="22" customFormat="1" ht="45">
      <c r="A69" s="58" t="s">
        <v>554</v>
      </c>
      <c r="B69" s="11" t="s">
        <v>717</v>
      </c>
      <c r="C69" s="12" t="s">
        <v>82</v>
      </c>
      <c r="D69" s="12">
        <v>0.5</v>
      </c>
      <c r="E69" s="12">
        <v>0.5</v>
      </c>
      <c r="F69" s="149">
        <v>121.94</v>
      </c>
      <c r="G69" s="149"/>
      <c r="H69" s="149"/>
      <c r="I69" s="146">
        <f t="shared" si="12"/>
        <v>121.94</v>
      </c>
      <c r="J69" s="146">
        <f t="shared" si="13"/>
        <v>60.97</v>
      </c>
      <c r="K69" s="146">
        <f t="shared" si="14"/>
        <v>60.97</v>
      </c>
    </row>
    <row r="70" spans="1:11" s="21" customFormat="1" ht="45">
      <c r="A70" s="58" t="s">
        <v>555</v>
      </c>
      <c r="B70" s="11" t="s">
        <v>81</v>
      </c>
      <c r="C70" s="12" t="s">
        <v>82</v>
      </c>
      <c r="D70" s="12">
        <v>4</v>
      </c>
      <c r="E70" s="12">
        <v>4</v>
      </c>
      <c r="F70" s="149">
        <v>99</v>
      </c>
      <c r="G70" s="149">
        <v>82.8</v>
      </c>
      <c r="H70" s="149">
        <v>99.9</v>
      </c>
      <c r="I70" s="146">
        <f t="shared" si="12"/>
        <v>93.9</v>
      </c>
      <c r="J70" s="146">
        <f t="shared" si="13"/>
        <v>375.6</v>
      </c>
      <c r="K70" s="146">
        <f t="shared" si="14"/>
        <v>375.6</v>
      </c>
    </row>
    <row r="71" spans="1:11" s="21" customFormat="1" ht="45">
      <c r="A71" s="58" t="s">
        <v>556</v>
      </c>
      <c r="B71" s="11" t="s">
        <v>169</v>
      </c>
      <c r="C71" s="12" t="s">
        <v>82</v>
      </c>
      <c r="D71" s="12">
        <v>0.25</v>
      </c>
      <c r="E71" s="12">
        <v>0.25</v>
      </c>
      <c r="F71" s="149">
        <f>26.8*5</f>
        <v>134</v>
      </c>
      <c r="G71" s="149"/>
      <c r="H71" s="149"/>
      <c r="I71" s="146">
        <f t="shared" si="12"/>
        <v>134</v>
      </c>
      <c r="J71" s="146">
        <f t="shared" si="13"/>
        <v>33.5</v>
      </c>
      <c r="K71" s="146">
        <f t="shared" si="14"/>
        <v>33.5</v>
      </c>
    </row>
    <row r="72" spans="1:11" s="21" customFormat="1" ht="30">
      <c r="A72" s="58" t="s">
        <v>557</v>
      </c>
      <c r="B72" s="11" t="s">
        <v>143</v>
      </c>
      <c r="C72" s="12" t="s">
        <v>82</v>
      </c>
      <c r="D72" s="12">
        <v>1</v>
      </c>
      <c r="E72" s="12">
        <v>1</v>
      </c>
      <c r="F72" s="149">
        <v>24.42</v>
      </c>
      <c r="G72" s="149">
        <v>14.5</v>
      </c>
      <c r="H72" s="149">
        <f>79.8/4</f>
        <v>19.95</v>
      </c>
      <c r="I72" s="146">
        <f t="shared" si="12"/>
        <v>19.62</v>
      </c>
      <c r="J72" s="146">
        <f t="shared" si="13"/>
        <v>19.62</v>
      </c>
      <c r="K72" s="146">
        <f t="shared" si="14"/>
        <v>19.62</v>
      </c>
    </row>
    <row r="73" spans="1:11" s="21" customFormat="1" ht="30">
      <c r="A73" s="58" t="s">
        <v>558</v>
      </c>
      <c r="B73" s="11" t="s">
        <v>111</v>
      </c>
      <c r="C73" s="12" t="s">
        <v>4</v>
      </c>
      <c r="D73" s="12">
        <v>2</v>
      </c>
      <c r="E73" s="12">
        <v>2</v>
      </c>
      <c r="F73" s="149">
        <v>4.76</v>
      </c>
      <c r="G73" s="149">
        <v>4.95</v>
      </c>
      <c r="H73" s="149">
        <v>4.5999999999999996</v>
      </c>
      <c r="I73" s="146">
        <f t="shared" si="12"/>
        <v>4.7699999999999996</v>
      </c>
      <c r="J73" s="146">
        <f t="shared" si="13"/>
        <v>9.5399999999999991</v>
      </c>
      <c r="K73" s="146">
        <f t="shared" si="14"/>
        <v>9.5399999999999991</v>
      </c>
    </row>
    <row r="74" spans="1:11" s="21" customFormat="1" ht="30">
      <c r="A74" s="58" t="s">
        <v>559</v>
      </c>
      <c r="B74" s="11" t="s">
        <v>179</v>
      </c>
      <c r="C74" s="12" t="s">
        <v>82</v>
      </c>
      <c r="D74" s="12">
        <v>40</v>
      </c>
      <c r="E74" s="12">
        <v>40</v>
      </c>
      <c r="F74" s="149">
        <v>103.74</v>
      </c>
      <c r="G74" s="149"/>
      <c r="H74" s="149"/>
      <c r="I74" s="146">
        <f t="shared" si="12"/>
        <v>103.74</v>
      </c>
      <c r="J74" s="146">
        <f t="shared" si="13"/>
        <v>4149.5999999999995</v>
      </c>
      <c r="K74" s="146">
        <f t="shared" si="14"/>
        <v>4149.5999999999995</v>
      </c>
    </row>
    <row r="75" spans="1:11" s="21" customFormat="1" ht="30">
      <c r="A75" s="58" t="s">
        <v>560</v>
      </c>
      <c r="B75" s="11" t="s">
        <v>107</v>
      </c>
      <c r="C75" s="12" t="s">
        <v>4</v>
      </c>
      <c r="D75" s="12">
        <v>6</v>
      </c>
      <c r="E75" s="12">
        <v>6</v>
      </c>
      <c r="F75" s="149">
        <v>5.49</v>
      </c>
      <c r="G75" s="149">
        <v>3.88</v>
      </c>
      <c r="H75" s="149">
        <v>3.62</v>
      </c>
      <c r="I75" s="146">
        <f t="shared" si="12"/>
        <v>4.33</v>
      </c>
      <c r="J75" s="146">
        <f t="shared" si="13"/>
        <v>25.98</v>
      </c>
      <c r="K75" s="146">
        <f t="shared" si="14"/>
        <v>25.98</v>
      </c>
    </row>
    <row r="76" spans="1:11" s="21" customFormat="1" ht="30">
      <c r="A76" s="58" t="s">
        <v>561</v>
      </c>
      <c r="B76" s="11" t="s">
        <v>144</v>
      </c>
      <c r="C76" s="12" t="s">
        <v>66</v>
      </c>
      <c r="D76" s="12">
        <v>4</v>
      </c>
      <c r="E76" s="12">
        <v>4</v>
      </c>
      <c r="F76" s="149">
        <v>27.9</v>
      </c>
      <c r="G76" s="149">
        <v>38</v>
      </c>
      <c r="H76" s="149">
        <v>41.55</v>
      </c>
      <c r="I76" s="146">
        <f t="shared" si="12"/>
        <v>35.82</v>
      </c>
      <c r="J76" s="146">
        <f t="shared" si="13"/>
        <v>143.28</v>
      </c>
      <c r="K76" s="146">
        <f t="shared" si="14"/>
        <v>143.28</v>
      </c>
    </row>
    <row r="77" spans="1:11" s="21" customFormat="1" ht="30">
      <c r="A77" s="58" t="s">
        <v>562</v>
      </c>
      <c r="B77" s="11" t="s">
        <v>851</v>
      </c>
      <c r="C77" s="12" t="s">
        <v>4</v>
      </c>
      <c r="D77" s="12">
        <v>6</v>
      </c>
      <c r="E77" s="12">
        <v>6</v>
      </c>
      <c r="F77" s="149">
        <v>99.9</v>
      </c>
      <c r="G77" s="149">
        <v>82.55</v>
      </c>
      <c r="H77" s="149">
        <v>82.55</v>
      </c>
      <c r="I77" s="146">
        <f t="shared" si="12"/>
        <v>88.33</v>
      </c>
      <c r="J77" s="146">
        <f t="shared" si="13"/>
        <v>529.98</v>
      </c>
      <c r="K77" s="146">
        <f t="shared" si="14"/>
        <v>529.98</v>
      </c>
    </row>
    <row r="78" spans="1:11" s="21" customFormat="1" ht="30">
      <c r="A78" s="58" t="s">
        <v>563</v>
      </c>
      <c r="B78" s="11" t="s">
        <v>110</v>
      </c>
      <c r="C78" s="12" t="s">
        <v>82</v>
      </c>
      <c r="D78" s="12">
        <v>5</v>
      </c>
      <c r="E78" s="12">
        <v>5</v>
      </c>
      <c r="F78" s="149">
        <v>21</v>
      </c>
      <c r="G78" s="149">
        <v>50</v>
      </c>
      <c r="H78" s="149">
        <v>29.03</v>
      </c>
      <c r="I78" s="146">
        <f t="shared" si="12"/>
        <v>33.340000000000003</v>
      </c>
      <c r="J78" s="146">
        <f t="shared" si="13"/>
        <v>166.70000000000002</v>
      </c>
      <c r="K78" s="146">
        <f t="shared" si="14"/>
        <v>166.70000000000002</v>
      </c>
    </row>
    <row r="79" spans="1:11" s="21" customFormat="1" ht="30">
      <c r="A79" s="58" t="s">
        <v>564</v>
      </c>
      <c r="B79" s="11" t="s">
        <v>98</v>
      </c>
      <c r="C79" s="12" t="s">
        <v>77</v>
      </c>
      <c r="D79" s="12">
        <v>2.5</v>
      </c>
      <c r="E79" s="12">
        <v>2.5</v>
      </c>
      <c r="F79" s="149">
        <f>5.04*10</f>
        <v>50.4</v>
      </c>
      <c r="G79" s="149">
        <f>13.26*3/0.9</f>
        <v>44.2</v>
      </c>
      <c r="H79" s="149"/>
      <c r="I79" s="146">
        <f t="shared" si="12"/>
        <v>47.3</v>
      </c>
      <c r="J79" s="146">
        <f t="shared" si="13"/>
        <v>118.25</v>
      </c>
      <c r="K79" s="146">
        <f t="shared" si="14"/>
        <v>118.25</v>
      </c>
    </row>
    <row r="80" spans="1:11" s="21" customFormat="1" ht="30">
      <c r="A80" s="58" t="s">
        <v>565</v>
      </c>
      <c r="B80" s="11" t="s">
        <v>485</v>
      </c>
      <c r="C80" s="12" t="s">
        <v>59</v>
      </c>
      <c r="D80" s="12">
        <v>2</v>
      </c>
      <c r="E80" s="12">
        <v>2</v>
      </c>
      <c r="F80" s="149">
        <f>56.05+20</f>
        <v>76.05</v>
      </c>
      <c r="G80" s="149"/>
      <c r="H80" s="149"/>
      <c r="I80" s="146">
        <f t="shared" si="12"/>
        <v>76.05</v>
      </c>
      <c r="J80" s="146">
        <f t="shared" si="13"/>
        <v>152.1</v>
      </c>
      <c r="K80" s="146">
        <f t="shared" si="14"/>
        <v>152.1</v>
      </c>
    </row>
    <row r="81" spans="1:11" s="21" customFormat="1" ht="45">
      <c r="A81" s="58" t="s">
        <v>714</v>
      </c>
      <c r="B81" s="11" t="s">
        <v>109</v>
      </c>
      <c r="C81" s="12" t="s">
        <v>82</v>
      </c>
      <c r="D81" s="12">
        <v>0.5</v>
      </c>
      <c r="E81" s="12">
        <v>0.5</v>
      </c>
      <c r="F81" s="149">
        <v>570</v>
      </c>
      <c r="G81" s="149">
        <v>529</v>
      </c>
      <c r="H81" s="149">
        <v>600</v>
      </c>
      <c r="I81" s="146">
        <f t="shared" si="12"/>
        <v>566.33000000000004</v>
      </c>
      <c r="J81" s="146">
        <f t="shared" si="13"/>
        <v>283.16500000000002</v>
      </c>
      <c r="K81" s="146">
        <f t="shared" si="14"/>
        <v>283.16500000000002</v>
      </c>
    </row>
    <row r="82" spans="1:11" s="21" customFormat="1" ht="45">
      <c r="A82" s="58" t="s">
        <v>715</v>
      </c>
      <c r="B82" s="11" t="s">
        <v>83</v>
      </c>
      <c r="C82" s="12" t="s">
        <v>82</v>
      </c>
      <c r="D82" s="12">
        <v>0.3</v>
      </c>
      <c r="E82" s="12">
        <v>0.3</v>
      </c>
      <c r="F82" s="149">
        <v>390</v>
      </c>
      <c r="G82" s="149"/>
      <c r="H82" s="149"/>
      <c r="I82" s="146">
        <f t="shared" si="12"/>
        <v>390</v>
      </c>
      <c r="J82" s="146">
        <f t="shared" si="13"/>
        <v>117</v>
      </c>
      <c r="K82" s="146">
        <f t="shared" si="14"/>
        <v>117</v>
      </c>
    </row>
    <row r="83" spans="1:11" s="21" customFormat="1" ht="30">
      <c r="A83" s="58" t="s">
        <v>716</v>
      </c>
      <c r="B83" s="11" t="s">
        <v>699</v>
      </c>
      <c r="C83" s="12" t="s">
        <v>82</v>
      </c>
      <c r="D83" s="12">
        <v>10</v>
      </c>
      <c r="E83" s="12">
        <v>10</v>
      </c>
      <c r="F83" s="149">
        <f>85.8/4</f>
        <v>21.45</v>
      </c>
      <c r="G83" s="149">
        <v>29.17</v>
      </c>
      <c r="H83" s="149">
        <v>23.48</v>
      </c>
      <c r="I83" s="146">
        <f t="shared" si="12"/>
        <v>24.7</v>
      </c>
      <c r="J83" s="146">
        <f t="shared" si="13"/>
        <v>247</v>
      </c>
      <c r="K83" s="146">
        <f t="shared" si="14"/>
        <v>247</v>
      </c>
    </row>
    <row r="84" spans="1:11" s="21" customFormat="1" ht="30">
      <c r="A84" s="58" t="s">
        <v>972</v>
      </c>
      <c r="B84" s="11" t="s">
        <v>105</v>
      </c>
      <c r="C84" s="12" t="s">
        <v>4</v>
      </c>
      <c r="D84" s="12">
        <v>20</v>
      </c>
      <c r="E84" s="12">
        <v>20</v>
      </c>
      <c r="F84" s="149">
        <v>2.39</v>
      </c>
      <c r="G84" s="149">
        <v>2.25</v>
      </c>
      <c r="H84" s="149">
        <v>2.29</v>
      </c>
      <c r="I84" s="146">
        <f t="shared" si="12"/>
        <v>2.31</v>
      </c>
      <c r="J84" s="146">
        <f t="shared" si="13"/>
        <v>46.2</v>
      </c>
      <c r="K84" s="146">
        <f t="shared" si="14"/>
        <v>46.2</v>
      </c>
    </row>
    <row r="85" spans="1:11" s="21" customFormat="1" ht="30">
      <c r="A85" s="46" t="s">
        <v>317</v>
      </c>
      <c r="B85" s="4" t="s">
        <v>389</v>
      </c>
      <c r="C85" s="5"/>
      <c r="D85" s="9"/>
      <c r="E85" s="9"/>
      <c r="F85" s="153"/>
      <c r="G85" s="153"/>
      <c r="H85" s="153"/>
      <c r="I85" s="136"/>
      <c r="J85" s="136"/>
      <c r="K85" s="137"/>
    </row>
    <row r="86" spans="1:11" s="21" customFormat="1" ht="30">
      <c r="A86" s="58" t="s">
        <v>318</v>
      </c>
      <c r="B86" s="11" t="s">
        <v>721</v>
      </c>
      <c r="C86" s="12" t="s">
        <v>77</v>
      </c>
      <c r="D86" s="13">
        <v>1</v>
      </c>
      <c r="E86" s="13">
        <v>1</v>
      </c>
      <c r="F86" s="149">
        <f>10+17.45</f>
        <v>27.45</v>
      </c>
      <c r="G86" s="149">
        <f>5.9*10</f>
        <v>59</v>
      </c>
      <c r="H86" s="149">
        <f>(1.2*8+123.9)*10/8</f>
        <v>166.875</v>
      </c>
      <c r="I86" s="146">
        <f t="shared" ref="I86:I92" si="15">ROUND(AVERAGE(F86,G86,H86),2)</f>
        <v>84.44</v>
      </c>
      <c r="J86" s="146">
        <f t="shared" ref="J86:J92" si="16">I86*D86</f>
        <v>84.44</v>
      </c>
      <c r="K86" s="146">
        <f t="shared" ref="K86:K92" si="17">I86*E86</f>
        <v>84.44</v>
      </c>
    </row>
    <row r="87" spans="1:11" s="21" customFormat="1" ht="30">
      <c r="A87" s="58" t="s">
        <v>319</v>
      </c>
      <c r="B87" s="11" t="s">
        <v>121</v>
      </c>
      <c r="C87" s="12" t="s">
        <v>4</v>
      </c>
      <c r="D87" s="13">
        <v>0.5</v>
      </c>
      <c r="E87" s="13">
        <v>0.5</v>
      </c>
      <c r="F87" s="149">
        <v>772.95</v>
      </c>
      <c r="G87" s="149"/>
      <c r="H87" s="149"/>
      <c r="I87" s="146">
        <f t="shared" si="15"/>
        <v>772.95</v>
      </c>
      <c r="J87" s="146">
        <f t="shared" si="16"/>
        <v>386.47500000000002</v>
      </c>
      <c r="K87" s="146">
        <f t="shared" si="17"/>
        <v>386.47500000000002</v>
      </c>
    </row>
    <row r="88" spans="1:11" s="21" customFormat="1" ht="60">
      <c r="A88" s="58" t="s">
        <v>320</v>
      </c>
      <c r="B88" s="11" t="s">
        <v>722</v>
      </c>
      <c r="C88" s="12" t="s">
        <v>4</v>
      </c>
      <c r="D88" s="13">
        <v>1</v>
      </c>
      <c r="E88" s="13">
        <v>1</v>
      </c>
      <c r="F88" s="149">
        <f>28.4+9.82</f>
        <v>38.22</v>
      </c>
      <c r="G88" s="149">
        <f>39.79+12.15</f>
        <v>51.94</v>
      </c>
      <c r="H88" s="149">
        <f>38.9+9.82</f>
        <v>48.72</v>
      </c>
      <c r="I88" s="146">
        <f t="shared" si="15"/>
        <v>46.29</v>
      </c>
      <c r="J88" s="146">
        <f t="shared" si="16"/>
        <v>46.29</v>
      </c>
      <c r="K88" s="146">
        <f t="shared" si="17"/>
        <v>46.29</v>
      </c>
    </row>
    <row r="89" spans="1:11" s="21" customFormat="1">
      <c r="A89" s="58" t="s">
        <v>321</v>
      </c>
      <c r="B89" s="11" t="s">
        <v>720</v>
      </c>
      <c r="C89" s="12" t="s">
        <v>4</v>
      </c>
      <c r="D89" s="13">
        <v>1</v>
      </c>
      <c r="E89" s="13">
        <v>1</v>
      </c>
      <c r="F89" s="149">
        <v>58.9</v>
      </c>
      <c r="G89" s="149"/>
      <c r="H89" s="149"/>
      <c r="I89" s="146">
        <f t="shared" si="15"/>
        <v>58.9</v>
      </c>
      <c r="J89" s="146">
        <f t="shared" si="16"/>
        <v>58.9</v>
      </c>
      <c r="K89" s="146">
        <f t="shared" si="17"/>
        <v>58.9</v>
      </c>
    </row>
    <row r="90" spans="1:11" s="21" customFormat="1" ht="45">
      <c r="A90" s="58" t="s">
        <v>322</v>
      </c>
      <c r="B90" s="11" t="s">
        <v>388</v>
      </c>
      <c r="C90" s="12" t="s">
        <v>82</v>
      </c>
      <c r="D90" s="12">
        <v>1</v>
      </c>
      <c r="E90" s="12">
        <v>1</v>
      </c>
      <c r="F90" s="149">
        <v>78.2</v>
      </c>
      <c r="G90" s="149"/>
      <c r="H90" s="149"/>
      <c r="I90" s="146">
        <f t="shared" si="15"/>
        <v>78.2</v>
      </c>
      <c r="J90" s="146">
        <f t="shared" si="16"/>
        <v>78.2</v>
      </c>
      <c r="K90" s="146">
        <f t="shared" si="17"/>
        <v>78.2</v>
      </c>
    </row>
    <row r="91" spans="1:11" s="21" customFormat="1" ht="60">
      <c r="A91" s="58" t="s">
        <v>723</v>
      </c>
      <c r="B91" s="11" t="s">
        <v>718</v>
      </c>
      <c r="C91" s="12" t="s">
        <v>82</v>
      </c>
      <c r="D91" s="13">
        <v>0.5</v>
      </c>
      <c r="E91" s="13">
        <v>0.5</v>
      </c>
      <c r="F91" s="149">
        <f>29.47+33.9</f>
        <v>63.37</v>
      </c>
      <c r="G91" s="149">
        <f>34.9+32.81</f>
        <v>67.710000000000008</v>
      </c>
      <c r="H91" s="149">
        <f>43.9+46.45</f>
        <v>90.35</v>
      </c>
      <c r="I91" s="146">
        <f t="shared" si="15"/>
        <v>73.81</v>
      </c>
      <c r="J91" s="146">
        <f t="shared" si="16"/>
        <v>36.905000000000001</v>
      </c>
      <c r="K91" s="146">
        <f t="shared" si="17"/>
        <v>36.905000000000001</v>
      </c>
    </row>
    <row r="92" spans="1:11" s="21" customFormat="1" ht="45">
      <c r="A92" s="58" t="s">
        <v>726</v>
      </c>
      <c r="B92" s="11" t="s">
        <v>727</v>
      </c>
      <c r="C92" s="12" t="s">
        <v>82</v>
      </c>
      <c r="D92" s="13">
        <v>0.5</v>
      </c>
      <c r="E92" s="13">
        <v>0.5</v>
      </c>
      <c r="F92" s="149">
        <f>69.99+25.9</f>
        <v>95.889999999999986</v>
      </c>
      <c r="G92" s="149"/>
      <c r="H92" s="149"/>
      <c r="I92" s="146">
        <f t="shared" si="15"/>
        <v>95.89</v>
      </c>
      <c r="J92" s="146">
        <f t="shared" si="16"/>
        <v>47.945</v>
      </c>
      <c r="K92" s="146">
        <f t="shared" si="17"/>
        <v>47.945</v>
      </c>
    </row>
    <row r="93" spans="1:11" s="8" customFormat="1" ht="29.25" customHeight="1" thickBot="1">
      <c r="A93" s="105" t="s">
        <v>465</v>
      </c>
      <c r="B93" s="106"/>
      <c r="C93" s="106"/>
      <c r="D93" s="106"/>
      <c r="E93" s="106"/>
      <c r="F93" s="106"/>
      <c r="G93" s="106"/>
      <c r="H93" s="106"/>
      <c r="I93" s="106"/>
      <c r="J93" s="74">
        <f>SUM(J3:J92)</f>
        <v>28691.683333333327</v>
      </c>
      <c r="K93" s="74">
        <f>SUM(K3:K92)</f>
        <v>28691.683333333327</v>
      </c>
    </row>
  </sheetData>
  <sortState ref="B61:K84">
    <sortCondition ref="B61:B84"/>
  </sortState>
  <mergeCells count="3">
    <mergeCell ref="A93:I93"/>
    <mergeCell ref="A2:B2"/>
    <mergeCell ref="A1:K1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9" fitToHeight="0" orientation="portrait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7"/>
  <sheetViews>
    <sheetView view="pageBreakPreview" zoomScale="85" zoomScaleNormal="100" zoomScaleSheetLayoutView="85" workbookViewId="0">
      <selection activeCell="E2" sqref="E2"/>
    </sheetView>
  </sheetViews>
  <sheetFormatPr defaultColWidth="9.140625" defaultRowHeight="15"/>
  <cols>
    <col min="1" max="1" width="6.5703125" style="3" customWidth="1"/>
    <col min="2" max="2" width="54.5703125" style="7" customWidth="1"/>
    <col min="3" max="3" width="5.5703125" style="7" customWidth="1"/>
    <col min="4" max="5" width="17.28515625" style="10" customWidth="1"/>
    <col min="6" max="8" width="17.28515625" style="23" hidden="1" customWidth="1"/>
    <col min="9" max="9" width="18.140625" style="24" customWidth="1"/>
    <col min="10" max="11" width="19" style="25" customWidth="1"/>
    <col min="12" max="12" width="9.140625" style="18"/>
    <col min="13" max="13" width="12.140625" style="18" bestFit="1" customWidth="1"/>
    <col min="14" max="14" width="24" style="18" customWidth="1"/>
    <col min="15" max="16384" width="9.140625" style="18"/>
  </cols>
  <sheetData>
    <row r="1" spans="1:13" ht="33.75" customHeight="1">
      <c r="A1" s="107" t="s">
        <v>454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73"/>
      <c r="M1" s="73"/>
    </row>
    <row r="2" spans="1:13" ht="45">
      <c r="A2" s="97" t="s">
        <v>3</v>
      </c>
      <c r="B2" s="98"/>
      <c r="C2" s="14" t="s">
        <v>0</v>
      </c>
      <c r="D2" s="68" t="s">
        <v>513</v>
      </c>
      <c r="E2" s="71" t="s">
        <v>514</v>
      </c>
      <c r="F2" s="15" t="s">
        <v>50</v>
      </c>
      <c r="G2" s="16" t="s">
        <v>51</v>
      </c>
      <c r="H2" s="17" t="s">
        <v>52</v>
      </c>
      <c r="I2" s="69" t="s">
        <v>53</v>
      </c>
      <c r="J2" s="69" t="s">
        <v>515</v>
      </c>
      <c r="K2" s="71" t="s">
        <v>516</v>
      </c>
      <c r="L2" s="55"/>
      <c r="M2" s="55"/>
    </row>
    <row r="3" spans="1:13">
      <c r="A3" s="46" t="s">
        <v>865</v>
      </c>
      <c r="B3" s="4" t="s">
        <v>806</v>
      </c>
      <c r="C3" s="4"/>
      <c r="D3" s="39"/>
      <c r="E3" s="39"/>
      <c r="F3" s="19"/>
      <c r="G3" s="19"/>
      <c r="H3" s="19"/>
      <c r="I3" s="20"/>
      <c r="J3" s="70"/>
      <c r="K3" s="57"/>
    </row>
    <row r="4" spans="1:13" ht="45">
      <c r="A4" s="59" t="s">
        <v>866</v>
      </c>
      <c r="B4" s="11" t="s">
        <v>775</v>
      </c>
      <c r="C4" s="12" t="s">
        <v>4</v>
      </c>
      <c r="D4" s="13">
        <v>12</v>
      </c>
      <c r="E4" s="13">
        <v>12</v>
      </c>
      <c r="F4" s="27">
        <v>14.2</v>
      </c>
      <c r="G4" s="27">
        <v>17.899999999999999</v>
      </c>
      <c r="H4" s="27">
        <v>16.82</v>
      </c>
      <c r="I4" s="146">
        <f t="shared" ref="I4:I27" si="0">ROUND(AVERAGE(F4,G4,H4),2)</f>
        <v>16.309999999999999</v>
      </c>
      <c r="J4" s="146">
        <f t="shared" ref="J4:J27" si="1">I4*D4</f>
        <v>195.71999999999997</v>
      </c>
      <c r="K4" s="146">
        <f t="shared" ref="K4:K27" si="2">I4*E4</f>
        <v>195.71999999999997</v>
      </c>
    </row>
    <row r="5" spans="1:13" ht="30">
      <c r="A5" s="59" t="s">
        <v>867</v>
      </c>
      <c r="B5" s="11" t="s">
        <v>641</v>
      </c>
      <c r="C5" s="12" t="s">
        <v>4</v>
      </c>
      <c r="D5" s="13">
        <v>10</v>
      </c>
      <c r="E5" s="13">
        <v>10</v>
      </c>
      <c r="F5" s="27">
        <v>39.9</v>
      </c>
      <c r="G5" s="27">
        <v>22.7</v>
      </c>
      <c r="H5" s="27">
        <v>28.9</v>
      </c>
      <c r="I5" s="146">
        <f t="shared" si="0"/>
        <v>30.5</v>
      </c>
      <c r="J5" s="146">
        <f t="shared" si="1"/>
        <v>305</v>
      </c>
      <c r="K5" s="146">
        <f t="shared" si="2"/>
        <v>305</v>
      </c>
    </row>
    <row r="6" spans="1:13" ht="45">
      <c r="A6" s="59" t="s">
        <v>868</v>
      </c>
      <c r="B6" s="11" t="s">
        <v>787</v>
      </c>
      <c r="C6" s="12" t="s">
        <v>4</v>
      </c>
      <c r="D6" s="13">
        <v>12</v>
      </c>
      <c r="E6" s="13">
        <v>12</v>
      </c>
      <c r="F6" s="27">
        <v>24.59</v>
      </c>
      <c r="G6" s="27">
        <v>24.59</v>
      </c>
      <c r="H6" s="27">
        <v>36.99</v>
      </c>
      <c r="I6" s="146">
        <f t="shared" si="0"/>
        <v>28.72</v>
      </c>
      <c r="J6" s="146">
        <f t="shared" si="1"/>
        <v>344.64</v>
      </c>
      <c r="K6" s="146">
        <f t="shared" si="2"/>
        <v>344.64</v>
      </c>
    </row>
    <row r="7" spans="1:13" ht="45">
      <c r="A7" s="59" t="s">
        <v>869</v>
      </c>
      <c r="B7" s="11" t="s">
        <v>778</v>
      </c>
      <c r="C7" s="12" t="s">
        <v>4</v>
      </c>
      <c r="D7" s="13">
        <v>32</v>
      </c>
      <c r="E7" s="13">
        <v>32</v>
      </c>
      <c r="F7" s="27">
        <v>39.9</v>
      </c>
      <c r="G7" s="27">
        <v>22.31</v>
      </c>
      <c r="H7" s="27">
        <v>29.98</v>
      </c>
      <c r="I7" s="146">
        <f t="shared" si="0"/>
        <v>30.73</v>
      </c>
      <c r="J7" s="146">
        <f t="shared" si="1"/>
        <v>983.36</v>
      </c>
      <c r="K7" s="146">
        <f t="shared" si="2"/>
        <v>983.36</v>
      </c>
    </row>
    <row r="8" spans="1:13" ht="45">
      <c r="A8" s="59" t="s">
        <v>870</v>
      </c>
      <c r="B8" s="11" t="s">
        <v>777</v>
      </c>
      <c r="C8" s="12" t="s">
        <v>4</v>
      </c>
      <c r="D8" s="13">
        <v>32</v>
      </c>
      <c r="E8" s="13">
        <v>32</v>
      </c>
      <c r="F8" s="27">
        <v>39.9</v>
      </c>
      <c r="G8" s="27">
        <v>22.31</v>
      </c>
      <c r="H8" s="27">
        <v>29.98</v>
      </c>
      <c r="I8" s="146">
        <f t="shared" si="0"/>
        <v>30.73</v>
      </c>
      <c r="J8" s="146">
        <f t="shared" si="1"/>
        <v>983.36</v>
      </c>
      <c r="K8" s="146">
        <f t="shared" si="2"/>
        <v>983.36</v>
      </c>
    </row>
    <row r="9" spans="1:13" ht="45">
      <c r="A9" s="59" t="s">
        <v>871</v>
      </c>
      <c r="B9" s="11" t="s">
        <v>779</v>
      </c>
      <c r="C9" s="12" t="s">
        <v>4</v>
      </c>
      <c r="D9" s="13">
        <v>12</v>
      </c>
      <c r="E9" s="13">
        <v>12</v>
      </c>
      <c r="F9" s="27">
        <v>20</v>
      </c>
      <c r="G9" s="27">
        <v>19.899999999999999</v>
      </c>
      <c r="H9" s="27">
        <v>18.84</v>
      </c>
      <c r="I9" s="146">
        <f t="shared" si="0"/>
        <v>19.579999999999998</v>
      </c>
      <c r="J9" s="146">
        <f t="shared" si="1"/>
        <v>234.95999999999998</v>
      </c>
      <c r="K9" s="146">
        <f t="shared" si="2"/>
        <v>234.95999999999998</v>
      </c>
    </row>
    <row r="10" spans="1:13" ht="45">
      <c r="A10" s="59" t="s">
        <v>872</v>
      </c>
      <c r="B10" s="11" t="s">
        <v>781</v>
      </c>
      <c r="C10" s="12" t="s">
        <v>4</v>
      </c>
      <c r="D10" s="13">
        <v>12</v>
      </c>
      <c r="E10" s="13">
        <v>12</v>
      </c>
      <c r="F10" s="27">
        <v>19</v>
      </c>
      <c r="G10" s="27">
        <v>19.71</v>
      </c>
      <c r="H10" s="27">
        <v>13.54</v>
      </c>
      <c r="I10" s="146">
        <f t="shared" si="0"/>
        <v>17.420000000000002</v>
      </c>
      <c r="J10" s="146">
        <f t="shared" si="1"/>
        <v>209.04000000000002</v>
      </c>
      <c r="K10" s="146">
        <f t="shared" si="2"/>
        <v>209.04000000000002</v>
      </c>
    </row>
    <row r="11" spans="1:13" ht="45">
      <c r="A11" s="59" t="s">
        <v>873</v>
      </c>
      <c r="B11" s="11" t="s">
        <v>780</v>
      </c>
      <c r="C11" s="12" t="s">
        <v>4</v>
      </c>
      <c r="D11" s="13">
        <v>12</v>
      </c>
      <c r="E11" s="13">
        <v>12</v>
      </c>
      <c r="F11" s="27">
        <v>19</v>
      </c>
      <c r="G11" s="27">
        <v>19.71</v>
      </c>
      <c r="H11" s="27">
        <v>13.54</v>
      </c>
      <c r="I11" s="146">
        <f t="shared" si="0"/>
        <v>17.420000000000002</v>
      </c>
      <c r="J11" s="146">
        <f t="shared" si="1"/>
        <v>209.04000000000002</v>
      </c>
      <c r="K11" s="146">
        <f t="shared" si="2"/>
        <v>209.04000000000002</v>
      </c>
    </row>
    <row r="12" spans="1:13" ht="30">
      <c r="A12" s="59" t="s">
        <v>874</v>
      </c>
      <c r="B12" s="11" t="s">
        <v>796</v>
      </c>
      <c r="C12" s="12" t="s">
        <v>82</v>
      </c>
      <c r="D12" s="13">
        <v>2</v>
      </c>
      <c r="E12" s="13">
        <v>2</v>
      </c>
      <c r="F12" s="27">
        <v>71.489999999999995</v>
      </c>
      <c r="G12" s="27">
        <v>107.9</v>
      </c>
      <c r="H12" s="27">
        <v>120.57</v>
      </c>
      <c r="I12" s="146">
        <f t="shared" si="0"/>
        <v>99.99</v>
      </c>
      <c r="J12" s="146">
        <f t="shared" si="1"/>
        <v>199.98</v>
      </c>
      <c r="K12" s="146">
        <f t="shared" si="2"/>
        <v>199.98</v>
      </c>
    </row>
    <row r="13" spans="1:13" ht="45">
      <c r="A13" s="59" t="s">
        <v>875</v>
      </c>
      <c r="B13" s="11" t="s">
        <v>72</v>
      </c>
      <c r="C13" s="12" t="s">
        <v>66</v>
      </c>
      <c r="D13" s="13">
        <v>90</v>
      </c>
      <c r="E13" s="13">
        <v>90</v>
      </c>
      <c r="F13" s="27">
        <v>62</v>
      </c>
      <c r="G13" s="27"/>
      <c r="H13" s="27"/>
      <c r="I13" s="146">
        <f t="shared" si="0"/>
        <v>62</v>
      </c>
      <c r="J13" s="146">
        <f t="shared" si="1"/>
        <v>5580</v>
      </c>
      <c r="K13" s="146">
        <f t="shared" si="2"/>
        <v>5580</v>
      </c>
    </row>
    <row r="14" spans="1:13" ht="30">
      <c r="A14" s="59" t="s">
        <v>876</v>
      </c>
      <c r="B14" s="11" t="s">
        <v>795</v>
      </c>
      <c r="C14" s="12" t="s">
        <v>59</v>
      </c>
      <c r="D14" s="13">
        <v>4</v>
      </c>
      <c r="E14" s="13">
        <v>4</v>
      </c>
      <c r="F14" s="27">
        <v>48.9</v>
      </c>
      <c r="G14" s="27">
        <v>35.9</v>
      </c>
      <c r="H14" s="27"/>
      <c r="I14" s="146">
        <f t="shared" si="0"/>
        <v>42.4</v>
      </c>
      <c r="J14" s="146">
        <f t="shared" si="1"/>
        <v>169.6</v>
      </c>
      <c r="K14" s="146">
        <f t="shared" si="2"/>
        <v>169.6</v>
      </c>
    </row>
    <row r="15" spans="1:13" ht="30">
      <c r="A15" s="59" t="s">
        <v>877</v>
      </c>
      <c r="B15" s="11" t="s">
        <v>774</v>
      </c>
      <c r="C15" s="12" t="s">
        <v>4</v>
      </c>
      <c r="D15" s="13">
        <v>1</v>
      </c>
      <c r="E15" s="13">
        <v>1</v>
      </c>
      <c r="F15" s="27">
        <f>255.55+31.79</f>
        <v>287.34000000000003</v>
      </c>
      <c r="G15" s="27">
        <f>258+35.26</f>
        <v>293.26</v>
      </c>
      <c r="H15" s="27">
        <f>265.9+22.64</f>
        <v>288.53999999999996</v>
      </c>
      <c r="I15" s="146">
        <f t="shared" si="0"/>
        <v>289.70999999999998</v>
      </c>
      <c r="J15" s="146">
        <f t="shared" si="1"/>
        <v>289.70999999999998</v>
      </c>
      <c r="K15" s="146">
        <f t="shared" si="2"/>
        <v>289.70999999999998</v>
      </c>
    </row>
    <row r="16" spans="1:13">
      <c r="A16" s="59" t="s">
        <v>878</v>
      </c>
      <c r="B16" s="11" t="s">
        <v>788</v>
      </c>
      <c r="C16" s="12" t="s">
        <v>632</v>
      </c>
      <c r="D16" s="13">
        <v>20</v>
      </c>
      <c r="E16" s="13">
        <v>20</v>
      </c>
      <c r="F16" s="27">
        <v>59.9</v>
      </c>
      <c r="G16" s="27">
        <v>69.900000000000006</v>
      </c>
      <c r="H16" s="27"/>
      <c r="I16" s="146">
        <f t="shared" si="0"/>
        <v>64.900000000000006</v>
      </c>
      <c r="J16" s="146">
        <f t="shared" si="1"/>
        <v>1298</v>
      </c>
      <c r="K16" s="146">
        <f t="shared" si="2"/>
        <v>1298</v>
      </c>
    </row>
    <row r="17" spans="1:11" ht="30">
      <c r="A17" s="59" t="s">
        <v>879</v>
      </c>
      <c r="B17" s="11" t="s">
        <v>793</v>
      </c>
      <c r="C17" s="12" t="s">
        <v>59</v>
      </c>
      <c r="D17" s="13">
        <v>4</v>
      </c>
      <c r="E17" s="13">
        <v>4</v>
      </c>
      <c r="F17" s="27">
        <v>198.8</v>
      </c>
      <c r="G17" s="27"/>
      <c r="H17" s="27"/>
      <c r="I17" s="146">
        <f t="shared" si="0"/>
        <v>198.8</v>
      </c>
      <c r="J17" s="146">
        <f t="shared" si="1"/>
        <v>795.2</v>
      </c>
      <c r="K17" s="146">
        <f t="shared" si="2"/>
        <v>795.2</v>
      </c>
    </row>
    <row r="18" spans="1:11" ht="45">
      <c r="A18" s="59" t="s">
        <v>880</v>
      </c>
      <c r="B18" s="11" t="s">
        <v>794</v>
      </c>
      <c r="C18" s="12" t="s">
        <v>59</v>
      </c>
      <c r="D18" s="13">
        <v>8</v>
      </c>
      <c r="E18" s="13">
        <v>8</v>
      </c>
      <c r="F18" s="27">
        <v>444</v>
      </c>
      <c r="G18" s="27">
        <v>474.5</v>
      </c>
      <c r="H18" s="27">
        <f>239.99+30.9</f>
        <v>270.89</v>
      </c>
      <c r="I18" s="146">
        <f t="shared" si="0"/>
        <v>396.46</v>
      </c>
      <c r="J18" s="146">
        <f t="shared" si="1"/>
        <v>3171.68</v>
      </c>
      <c r="K18" s="146">
        <f t="shared" si="2"/>
        <v>3171.68</v>
      </c>
    </row>
    <row r="19" spans="1:11" ht="30">
      <c r="A19" s="59" t="s">
        <v>881</v>
      </c>
      <c r="B19" s="11" t="s">
        <v>839</v>
      </c>
      <c r="C19" s="12" t="s">
        <v>4</v>
      </c>
      <c r="D19" s="13">
        <v>1</v>
      </c>
      <c r="E19" s="13">
        <v>0</v>
      </c>
      <c r="F19" s="27">
        <v>39.9</v>
      </c>
      <c r="G19" s="27">
        <v>29.97</v>
      </c>
      <c r="H19" s="27">
        <v>44.9</v>
      </c>
      <c r="I19" s="146">
        <f t="shared" si="0"/>
        <v>38.26</v>
      </c>
      <c r="J19" s="146">
        <f t="shared" si="1"/>
        <v>38.26</v>
      </c>
      <c r="K19" s="146">
        <f t="shared" si="2"/>
        <v>0</v>
      </c>
    </row>
    <row r="20" spans="1:11" ht="30">
      <c r="A20" s="59" t="s">
        <v>882</v>
      </c>
      <c r="B20" s="11" t="s">
        <v>797</v>
      </c>
      <c r="C20" s="12" t="s">
        <v>4</v>
      </c>
      <c r="D20" s="13">
        <v>2</v>
      </c>
      <c r="E20" s="13">
        <v>2</v>
      </c>
      <c r="F20" s="27">
        <v>169.9</v>
      </c>
      <c r="G20" s="27">
        <v>235.71</v>
      </c>
      <c r="H20" s="27">
        <v>245.63</v>
      </c>
      <c r="I20" s="146">
        <f t="shared" si="0"/>
        <v>217.08</v>
      </c>
      <c r="J20" s="146">
        <f t="shared" si="1"/>
        <v>434.16</v>
      </c>
      <c r="K20" s="146">
        <f t="shared" si="2"/>
        <v>434.16</v>
      </c>
    </row>
    <row r="21" spans="1:11" ht="30">
      <c r="A21" s="59" t="s">
        <v>883</v>
      </c>
      <c r="B21" s="11" t="s">
        <v>784</v>
      </c>
      <c r="C21" s="12" t="s">
        <v>82</v>
      </c>
      <c r="D21" s="13">
        <v>3</v>
      </c>
      <c r="E21" s="13">
        <v>3</v>
      </c>
      <c r="F21" s="27">
        <v>77.900000000000006</v>
      </c>
      <c r="G21" s="27">
        <v>92.9</v>
      </c>
      <c r="H21" s="27">
        <v>82.9</v>
      </c>
      <c r="I21" s="146">
        <f t="shared" si="0"/>
        <v>84.57</v>
      </c>
      <c r="J21" s="146">
        <f t="shared" si="1"/>
        <v>253.70999999999998</v>
      </c>
      <c r="K21" s="146">
        <f t="shared" si="2"/>
        <v>253.70999999999998</v>
      </c>
    </row>
    <row r="22" spans="1:11" ht="30">
      <c r="A22" s="59" t="s">
        <v>884</v>
      </c>
      <c r="B22" s="11" t="s">
        <v>783</v>
      </c>
      <c r="C22" s="12" t="s">
        <v>82</v>
      </c>
      <c r="D22" s="13">
        <v>3</v>
      </c>
      <c r="E22" s="13">
        <v>3</v>
      </c>
      <c r="F22" s="27">
        <f>25.9*4</f>
        <v>103.6</v>
      </c>
      <c r="G22" s="27"/>
      <c r="H22" s="27"/>
      <c r="I22" s="146">
        <f t="shared" si="0"/>
        <v>103.6</v>
      </c>
      <c r="J22" s="146">
        <f t="shared" si="1"/>
        <v>310.79999999999995</v>
      </c>
      <c r="K22" s="146">
        <f t="shared" si="2"/>
        <v>310.79999999999995</v>
      </c>
    </row>
    <row r="23" spans="1:11" ht="30">
      <c r="A23" s="59" t="s">
        <v>885</v>
      </c>
      <c r="B23" s="11" t="s">
        <v>785</v>
      </c>
      <c r="C23" s="12" t="s">
        <v>82</v>
      </c>
      <c r="D23" s="13">
        <v>4</v>
      </c>
      <c r="E23" s="13">
        <v>4</v>
      </c>
      <c r="F23" s="27">
        <f>98.9+66.35</f>
        <v>165.25</v>
      </c>
      <c r="G23" s="27">
        <v>98.9</v>
      </c>
      <c r="H23" s="27">
        <v>160</v>
      </c>
      <c r="I23" s="146">
        <f t="shared" si="0"/>
        <v>141.38</v>
      </c>
      <c r="J23" s="146">
        <f t="shared" si="1"/>
        <v>565.52</v>
      </c>
      <c r="K23" s="146">
        <f t="shared" si="2"/>
        <v>565.52</v>
      </c>
    </row>
    <row r="24" spans="1:11" ht="30">
      <c r="A24" s="59" t="s">
        <v>886</v>
      </c>
      <c r="B24" s="11" t="s">
        <v>786</v>
      </c>
      <c r="C24" s="12" t="s">
        <v>4</v>
      </c>
      <c r="D24" s="13">
        <v>2</v>
      </c>
      <c r="E24" s="13">
        <v>2</v>
      </c>
      <c r="F24" s="27">
        <v>46.9</v>
      </c>
      <c r="G24" s="27">
        <f>71.8+26.9</f>
        <v>98.699999999999989</v>
      </c>
      <c r="H24" s="27">
        <v>62.9</v>
      </c>
      <c r="I24" s="146">
        <f t="shared" si="0"/>
        <v>69.5</v>
      </c>
      <c r="J24" s="146">
        <f t="shared" si="1"/>
        <v>139</v>
      </c>
      <c r="K24" s="146">
        <f t="shared" si="2"/>
        <v>139</v>
      </c>
    </row>
    <row r="25" spans="1:11" ht="30">
      <c r="A25" s="59" t="s">
        <v>887</v>
      </c>
      <c r="B25" s="11" t="s">
        <v>73</v>
      </c>
      <c r="C25" s="12" t="s">
        <v>59</v>
      </c>
      <c r="D25" s="13">
        <v>100</v>
      </c>
      <c r="E25" s="13">
        <v>100</v>
      </c>
      <c r="F25" s="27">
        <v>90</v>
      </c>
      <c r="G25" s="27"/>
      <c r="H25" s="27"/>
      <c r="I25" s="146">
        <f t="shared" si="0"/>
        <v>90</v>
      </c>
      <c r="J25" s="146">
        <f t="shared" si="1"/>
        <v>9000</v>
      </c>
      <c r="K25" s="146">
        <f t="shared" si="2"/>
        <v>9000</v>
      </c>
    </row>
    <row r="26" spans="1:11" ht="30">
      <c r="A26" s="59" t="s">
        <v>888</v>
      </c>
      <c r="B26" s="11" t="s">
        <v>782</v>
      </c>
      <c r="C26" s="12" t="s">
        <v>59</v>
      </c>
      <c r="D26" s="13">
        <v>4</v>
      </c>
      <c r="E26" s="13">
        <v>4</v>
      </c>
      <c r="F26" s="27">
        <f>30+38.82</f>
        <v>68.819999999999993</v>
      </c>
      <c r="G26" s="27">
        <v>32.9</v>
      </c>
      <c r="H26" s="27">
        <v>31.07</v>
      </c>
      <c r="I26" s="146">
        <f t="shared" si="0"/>
        <v>44.26</v>
      </c>
      <c r="J26" s="146">
        <f t="shared" si="1"/>
        <v>177.04</v>
      </c>
      <c r="K26" s="146">
        <f t="shared" si="2"/>
        <v>177.04</v>
      </c>
    </row>
    <row r="27" spans="1:11" ht="45">
      <c r="A27" s="59" t="s">
        <v>889</v>
      </c>
      <c r="B27" s="11" t="s">
        <v>776</v>
      </c>
      <c r="C27" s="12" t="s">
        <v>4</v>
      </c>
      <c r="D27" s="13">
        <v>24</v>
      </c>
      <c r="E27" s="13">
        <v>24</v>
      </c>
      <c r="F27" s="27">
        <v>19.899999999999999</v>
      </c>
      <c r="G27" s="27">
        <v>18.68</v>
      </c>
      <c r="H27" s="27">
        <v>18.68</v>
      </c>
      <c r="I27" s="146">
        <f t="shared" si="0"/>
        <v>19.09</v>
      </c>
      <c r="J27" s="146">
        <f t="shared" si="1"/>
        <v>458.15999999999997</v>
      </c>
      <c r="K27" s="146">
        <f t="shared" si="2"/>
        <v>458.15999999999997</v>
      </c>
    </row>
    <row r="28" spans="1:11">
      <c r="A28" s="46" t="s">
        <v>890</v>
      </c>
      <c r="B28" s="4" t="s">
        <v>814</v>
      </c>
      <c r="C28" s="4"/>
      <c r="D28" s="39"/>
      <c r="E28" s="39"/>
      <c r="F28" s="19"/>
      <c r="G28" s="19"/>
      <c r="H28" s="19"/>
      <c r="I28" s="131"/>
      <c r="J28" s="140"/>
      <c r="K28" s="141"/>
    </row>
    <row r="29" spans="1:11" ht="30">
      <c r="A29" s="59" t="s">
        <v>891</v>
      </c>
      <c r="B29" s="11" t="s">
        <v>838</v>
      </c>
      <c r="C29" s="12" t="s">
        <v>323</v>
      </c>
      <c r="D29" s="13">
        <v>20</v>
      </c>
      <c r="E29" s="13">
        <v>20</v>
      </c>
      <c r="F29" s="27">
        <f>125.9/(2.75*1.84)</f>
        <v>24.881422924901184</v>
      </c>
      <c r="G29" s="27"/>
      <c r="H29" s="27"/>
      <c r="I29" s="146">
        <f t="shared" ref="I29:I37" si="3">ROUND(AVERAGE(F29,G29,H29),2)</f>
        <v>24.88</v>
      </c>
      <c r="J29" s="146">
        <f t="shared" ref="J29:J37" si="4">I29*D29</f>
        <v>497.59999999999997</v>
      </c>
      <c r="K29" s="146">
        <f t="shared" ref="K29:K37" si="5">I29*E29</f>
        <v>497.59999999999997</v>
      </c>
    </row>
    <row r="30" spans="1:11">
      <c r="A30" s="59" t="s">
        <v>892</v>
      </c>
      <c r="B30" s="11" t="s">
        <v>836</v>
      </c>
      <c r="C30" s="12" t="s">
        <v>632</v>
      </c>
      <c r="D30" s="13">
        <v>10</v>
      </c>
      <c r="E30" s="13">
        <v>10</v>
      </c>
      <c r="F30" s="27">
        <f>14.9+14.9</f>
        <v>29.8</v>
      </c>
      <c r="G30" s="27"/>
      <c r="H30" s="27"/>
      <c r="I30" s="146">
        <f t="shared" si="3"/>
        <v>29.8</v>
      </c>
      <c r="J30" s="146">
        <f t="shared" si="4"/>
        <v>298</v>
      </c>
      <c r="K30" s="146">
        <f t="shared" si="5"/>
        <v>298</v>
      </c>
    </row>
    <row r="31" spans="1:11" ht="30">
      <c r="A31" s="59" t="s">
        <v>893</v>
      </c>
      <c r="B31" s="11" t="s">
        <v>844</v>
      </c>
      <c r="C31" s="12" t="s">
        <v>323</v>
      </c>
      <c r="D31" s="13">
        <v>50</v>
      </c>
      <c r="E31" s="13">
        <v>50</v>
      </c>
      <c r="F31" s="27">
        <f>44.25/(2.85*0.64)</f>
        <v>24.25986842105263</v>
      </c>
      <c r="G31" s="27"/>
      <c r="H31" s="27"/>
      <c r="I31" s="146">
        <f t="shared" si="3"/>
        <v>24.26</v>
      </c>
      <c r="J31" s="146">
        <f t="shared" si="4"/>
        <v>1213</v>
      </c>
      <c r="K31" s="146">
        <f t="shared" si="5"/>
        <v>1213</v>
      </c>
    </row>
    <row r="32" spans="1:11" ht="30">
      <c r="A32" s="59" t="s">
        <v>894</v>
      </c>
      <c r="B32" s="11" t="s">
        <v>792</v>
      </c>
      <c r="C32" s="12" t="s">
        <v>4</v>
      </c>
      <c r="D32" s="13">
        <v>24</v>
      </c>
      <c r="E32" s="13">
        <v>24</v>
      </c>
      <c r="F32" s="27">
        <v>36.159999999999997</v>
      </c>
      <c r="G32" s="27">
        <v>39.9</v>
      </c>
      <c r="H32" s="27"/>
      <c r="I32" s="146">
        <f t="shared" si="3"/>
        <v>38.03</v>
      </c>
      <c r="J32" s="146">
        <f t="shared" si="4"/>
        <v>912.72</v>
      </c>
      <c r="K32" s="146">
        <f t="shared" si="5"/>
        <v>912.72</v>
      </c>
    </row>
    <row r="33" spans="1:11" ht="30">
      <c r="A33" s="59" t="s">
        <v>895</v>
      </c>
      <c r="B33" s="11" t="s">
        <v>651</v>
      </c>
      <c r="C33" s="12" t="s">
        <v>61</v>
      </c>
      <c r="D33" s="13">
        <v>2</v>
      </c>
      <c r="E33" s="13">
        <v>2</v>
      </c>
      <c r="F33" s="27">
        <f>158.4+20.9</f>
        <v>179.3</v>
      </c>
      <c r="G33" s="27"/>
      <c r="H33" s="27"/>
      <c r="I33" s="146">
        <f t="shared" si="3"/>
        <v>179.3</v>
      </c>
      <c r="J33" s="146">
        <f t="shared" si="4"/>
        <v>358.6</v>
      </c>
      <c r="K33" s="146">
        <f t="shared" si="5"/>
        <v>358.6</v>
      </c>
    </row>
    <row r="34" spans="1:11" ht="30">
      <c r="A34" s="59" t="s">
        <v>896</v>
      </c>
      <c r="B34" s="11" t="s">
        <v>655</v>
      </c>
      <c r="C34" s="12" t="s">
        <v>210</v>
      </c>
      <c r="D34" s="13">
        <v>8</v>
      </c>
      <c r="E34" s="13">
        <v>4</v>
      </c>
      <c r="F34" s="27">
        <v>24.9</v>
      </c>
      <c r="G34" s="27">
        <v>30.9</v>
      </c>
      <c r="H34" s="27">
        <f>14.27+104.9/8</f>
        <v>27.3825</v>
      </c>
      <c r="I34" s="146">
        <f t="shared" si="3"/>
        <v>27.73</v>
      </c>
      <c r="J34" s="146">
        <f t="shared" si="4"/>
        <v>221.84</v>
      </c>
      <c r="K34" s="146">
        <f t="shared" si="5"/>
        <v>110.92</v>
      </c>
    </row>
    <row r="35" spans="1:11" ht="30">
      <c r="A35" s="59" t="s">
        <v>897</v>
      </c>
      <c r="B35" s="11" t="s">
        <v>798</v>
      </c>
      <c r="C35" s="12" t="s">
        <v>82</v>
      </c>
      <c r="D35" s="13">
        <v>6</v>
      </c>
      <c r="E35" s="13">
        <v>6</v>
      </c>
      <c r="F35" s="27">
        <f>96+27.94</f>
        <v>123.94</v>
      </c>
      <c r="G35" s="27">
        <v>79.900000000000006</v>
      </c>
      <c r="H35" s="27"/>
      <c r="I35" s="146">
        <f t="shared" si="3"/>
        <v>101.92</v>
      </c>
      <c r="J35" s="146">
        <f t="shared" si="4"/>
        <v>611.52</v>
      </c>
      <c r="K35" s="146">
        <f t="shared" si="5"/>
        <v>611.52</v>
      </c>
    </row>
    <row r="36" spans="1:11" ht="45">
      <c r="A36" s="59" t="s">
        <v>898</v>
      </c>
      <c r="B36" s="11" t="s">
        <v>800</v>
      </c>
      <c r="C36" s="12" t="s">
        <v>82</v>
      </c>
      <c r="D36" s="13">
        <v>6</v>
      </c>
      <c r="E36" s="13">
        <v>6</v>
      </c>
      <c r="F36" s="27">
        <f>106+27.94</f>
        <v>133.94</v>
      </c>
      <c r="G36" s="27">
        <v>136.9</v>
      </c>
      <c r="H36" s="27"/>
      <c r="I36" s="146">
        <f t="shared" si="3"/>
        <v>135.41999999999999</v>
      </c>
      <c r="J36" s="146">
        <f t="shared" si="4"/>
        <v>812.52</v>
      </c>
      <c r="K36" s="146">
        <f t="shared" si="5"/>
        <v>812.52</v>
      </c>
    </row>
    <row r="37" spans="1:11" ht="45">
      <c r="A37" s="59" t="s">
        <v>899</v>
      </c>
      <c r="B37" s="11" t="s">
        <v>799</v>
      </c>
      <c r="C37" s="12" t="s">
        <v>82</v>
      </c>
      <c r="D37" s="13">
        <v>6</v>
      </c>
      <c r="E37" s="13">
        <v>6</v>
      </c>
      <c r="F37" s="27">
        <f>69+27.94</f>
        <v>96.94</v>
      </c>
      <c r="G37" s="27">
        <v>78.900000000000006</v>
      </c>
      <c r="H37" s="27"/>
      <c r="I37" s="146">
        <f t="shared" si="3"/>
        <v>87.92</v>
      </c>
      <c r="J37" s="146">
        <f t="shared" si="4"/>
        <v>527.52</v>
      </c>
      <c r="K37" s="146">
        <f t="shared" si="5"/>
        <v>527.52</v>
      </c>
    </row>
    <row r="38" spans="1:11">
      <c r="A38" s="46" t="s">
        <v>900</v>
      </c>
      <c r="B38" s="4" t="s">
        <v>656</v>
      </c>
      <c r="C38" s="4"/>
      <c r="D38" s="39"/>
      <c r="E38" s="39"/>
      <c r="F38" s="19"/>
      <c r="G38" s="19"/>
      <c r="H38" s="19"/>
      <c r="I38" s="131"/>
      <c r="J38" s="140"/>
      <c r="K38" s="141"/>
    </row>
    <row r="39" spans="1:11" s="21" customFormat="1">
      <c r="A39" s="58" t="s">
        <v>901</v>
      </c>
      <c r="B39" s="11" t="s">
        <v>659</v>
      </c>
      <c r="C39" s="12" t="s">
        <v>4</v>
      </c>
      <c r="D39" s="13">
        <v>2</v>
      </c>
      <c r="E39" s="13">
        <v>1</v>
      </c>
      <c r="F39" s="27">
        <v>109</v>
      </c>
      <c r="G39" s="27">
        <f>96.56+29.03</f>
        <v>125.59</v>
      </c>
      <c r="H39" s="27">
        <f>96.83+20.9</f>
        <v>117.72999999999999</v>
      </c>
      <c r="I39" s="146">
        <f t="shared" ref="I39:I54" si="6">ROUND(AVERAGE(F39,G39,H39),2)</f>
        <v>117.44</v>
      </c>
      <c r="J39" s="146">
        <f t="shared" ref="J39:J54" si="7">I39*D39</f>
        <v>234.88</v>
      </c>
      <c r="K39" s="146">
        <f t="shared" ref="K39:K54" si="8">I39*E39</f>
        <v>117.44</v>
      </c>
    </row>
    <row r="40" spans="1:11" s="21" customFormat="1" ht="30">
      <c r="A40" s="58" t="s">
        <v>902</v>
      </c>
      <c r="B40" s="11" t="s">
        <v>658</v>
      </c>
      <c r="C40" s="12" t="s">
        <v>4</v>
      </c>
      <c r="D40" s="13">
        <v>3</v>
      </c>
      <c r="E40" s="13">
        <v>2</v>
      </c>
      <c r="F40" s="27">
        <v>51.06</v>
      </c>
      <c r="G40" s="27">
        <f>49.9+30.9</f>
        <v>80.8</v>
      </c>
      <c r="H40" s="27">
        <v>54.9</v>
      </c>
      <c r="I40" s="146">
        <f t="shared" si="6"/>
        <v>62.25</v>
      </c>
      <c r="J40" s="146">
        <f t="shared" si="7"/>
        <v>186.75</v>
      </c>
      <c r="K40" s="146">
        <f t="shared" si="8"/>
        <v>124.5</v>
      </c>
    </row>
    <row r="41" spans="1:11" s="21" customFormat="1" ht="30">
      <c r="A41" s="58" t="s">
        <v>903</v>
      </c>
      <c r="B41" s="11" t="s">
        <v>652</v>
      </c>
      <c r="C41" s="12" t="s">
        <v>4</v>
      </c>
      <c r="D41" s="13">
        <v>6</v>
      </c>
      <c r="E41" s="13">
        <v>6</v>
      </c>
      <c r="F41" s="27">
        <v>4.6900000000000004</v>
      </c>
      <c r="G41" s="27">
        <v>5.21</v>
      </c>
      <c r="H41" s="27">
        <v>4.6900000000000004</v>
      </c>
      <c r="I41" s="146">
        <f t="shared" si="6"/>
        <v>4.8600000000000003</v>
      </c>
      <c r="J41" s="146">
        <f t="shared" si="7"/>
        <v>29.160000000000004</v>
      </c>
      <c r="K41" s="146">
        <f t="shared" si="8"/>
        <v>29.160000000000004</v>
      </c>
    </row>
    <row r="42" spans="1:11" s="21" customFormat="1" ht="30">
      <c r="A42" s="58" t="s">
        <v>904</v>
      </c>
      <c r="B42" s="11" t="s">
        <v>773</v>
      </c>
      <c r="C42" s="12" t="s">
        <v>4</v>
      </c>
      <c r="D42" s="13">
        <v>12</v>
      </c>
      <c r="E42" s="13">
        <v>12</v>
      </c>
      <c r="F42" s="27">
        <v>10.68</v>
      </c>
      <c r="G42" s="27">
        <v>13.08</v>
      </c>
      <c r="H42" s="27">
        <v>26.98</v>
      </c>
      <c r="I42" s="146">
        <f t="shared" si="6"/>
        <v>16.91</v>
      </c>
      <c r="J42" s="146">
        <f t="shared" si="7"/>
        <v>202.92000000000002</v>
      </c>
      <c r="K42" s="146">
        <f t="shared" si="8"/>
        <v>202.92000000000002</v>
      </c>
    </row>
    <row r="43" spans="1:11" s="21" customFormat="1" ht="30">
      <c r="A43" s="58" t="s">
        <v>905</v>
      </c>
      <c r="B43" s="11" t="s">
        <v>649</v>
      </c>
      <c r="C43" s="12" t="s">
        <v>4</v>
      </c>
      <c r="D43" s="13">
        <v>12</v>
      </c>
      <c r="E43" s="13">
        <v>12</v>
      </c>
      <c r="F43" s="27">
        <v>21.25</v>
      </c>
      <c r="G43" s="27">
        <v>22.94</v>
      </c>
      <c r="H43" s="27">
        <v>29.9</v>
      </c>
      <c r="I43" s="146">
        <f t="shared" si="6"/>
        <v>24.7</v>
      </c>
      <c r="J43" s="146">
        <f t="shared" si="7"/>
        <v>296.39999999999998</v>
      </c>
      <c r="K43" s="146">
        <f t="shared" si="8"/>
        <v>296.39999999999998</v>
      </c>
    </row>
    <row r="44" spans="1:11" s="21" customFormat="1" ht="30">
      <c r="A44" s="58" t="s">
        <v>906</v>
      </c>
      <c r="B44" s="11" t="s">
        <v>633</v>
      </c>
      <c r="C44" s="12" t="s">
        <v>632</v>
      </c>
      <c r="D44" s="13">
        <v>10</v>
      </c>
      <c r="E44" s="13">
        <v>10</v>
      </c>
      <c r="F44" s="27">
        <f>9.9+48.9/5</f>
        <v>19.68</v>
      </c>
      <c r="G44" s="27">
        <f>12.99+88.9/5</f>
        <v>30.770000000000003</v>
      </c>
      <c r="H44" s="27"/>
      <c r="I44" s="146">
        <f t="shared" si="6"/>
        <v>25.23</v>
      </c>
      <c r="J44" s="146">
        <f t="shared" si="7"/>
        <v>252.3</v>
      </c>
      <c r="K44" s="146">
        <f t="shared" si="8"/>
        <v>252.3</v>
      </c>
    </row>
    <row r="45" spans="1:11" s="21" customFormat="1" ht="30">
      <c r="A45" s="58" t="s">
        <v>907</v>
      </c>
      <c r="B45" s="11" t="s">
        <v>634</v>
      </c>
      <c r="C45" s="12" t="s">
        <v>632</v>
      </c>
      <c r="D45" s="13">
        <v>10</v>
      </c>
      <c r="E45" s="13">
        <v>10</v>
      </c>
      <c r="F45" s="27">
        <f>8.25+48.9/5</f>
        <v>18.03</v>
      </c>
      <c r="G45" s="27">
        <v>21.46</v>
      </c>
      <c r="H45" s="27"/>
      <c r="I45" s="146">
        <f t="shared" si="6"/>
        <v>19.75</v>
      </c>
      <c r="J45" s="146">
        <f t="shared" si="7"/>
        <v>197.5</v>
      </c>
      <c r="K45" s="146">
        <f t="shared" si="8"/>
        <v>197.5</v>
      </c>
    </row>
    <row r="46" spans="1:11" s="21" customFormat="1">
      <c r="A46" s="58" t="s">
        <v>908</v>
      </c>
      <c r="B46" s="11" t="s">
        <v>653</v>
      </c>
      <c r="C46" s="12" t="s">
        <v>4</v>
      </c>
      <c r="D46" s="13">
        <v>1</v>
      </c>
      <c r="E46" s="13">
        <v>1</v>
      </c>
      <c r="F46" s="27">
        <v>23.32</v>
      </c>
      <c r="G46" s="27">
        <v>23.59</v>
      </c>
      <c r="H46" s="27"/>
      <c r="I46" s="146">
        <f t="shared" si="6"/>
        <v>23.46</v>
      </c>
      <c r="J46" s="146">
        <f t="shared" si="7"/>
        <v>23.46</v>
      </c>
      <c r="K46" s="146">
        <f t="shared" si="8"/>
        <v>23.46</v>
      </c>
    </row>
    <row r="47" spans="1:11" s="21" customFormat="1" ht="30">
      <c r="A47" s="58" t="s">
        <v>909</v>
      </c>
      <c r="B47" s="11" t="s">
        <v>673</v>
      </c>
      <c r="C47" s="12" t="s">
        <v>632</v>
      </c>
      <c r="D47" s="13">
        <v>15</v>
      </c>
      <c r="E47" s="13">
        <v>15</v>
      </c>
      <c r="F47" s="27">
        <v>23</v>
      </c>
      <c r="G47" s="27">
        <v>27.99</v>
      </c>
      <c r="H47" s="27">
        <v>31.93</v>
      </c>
      <c r="I47" s="146">
        <f t="shared" si="6"/>
        <v>27.64</v>
      </c>
      <c r="J47" s="146">
        <f t="shared" si="7"/>
        <v>414.6</v>
      </c>
      <c r="K47" s="146">
        <f t="shared" si="8"/>
        <v>414.6</v>
      </c>
    </row>
    <row r="48" spans="1:11" s="21" customFormat="1">
      <c r="A48" s="58" t="s">
        <v>910</v>
      </c>
      <c r="B48" s="11" t="s">
        <v>770</v>
      </c>
      <c r="C48" s="12" t="s">
        <v>66</v>
      </c>
      <c r="D48" s="13">
        <v>1</v>
      </c>
      <c r="E48" s="13">
        <v>1</v>
      </c>
      <c r="F48" s="27">
        <v>16.79</v>
      </c>
      <c r="G48" s="27">
        <v>16.78</v>
      </c>
      <c r="H48" s="27"/>
      <c r="I48" s="146">
        <f t="shared" si="6"/>
        <v>16.79</v>
      </c>
      <c r="J48" s="146">
        <f t="shared" si="7"/>
        <v>16.79</v>
      </c>
      <c r="K48" s="146">
        <f t="shared" si="8"/>
        <v>16.79</v>
      </c>
    </row>
    <row r="49" spans="1:11" s="21" customFormat="1">
      <c r="A49" s="58" t="s">
        <v>911</v>
      </c>
      <c r="B49" s="11" t="s">
        <v>769</v>
      </c>
      <c r="C49" s="12" t="s">
        <v>4</v>
      </c>
      <c r="D49" s="13">
        <v>1</v>
      </c>
      <c r="E49" s="13">
        <v>1</v>
      </c>
      <c r="F49" s="27">
        <v>1.69</v>
      </c>
      <c r="G49" s="27">
        <v>4.0199999999999996</v>
      </c>
      <c r="H49" s="27">
        <v>3.9</v>
      </c>
      <c r="I49" s="146">
        <f t="shared" si="6"/>
        <v>3.2</v>
      </c>
      <c r="J49" s="146">
        <f t="shared" si="7"/>
        <v>3.2</v>
      </c>
      <c r="K49" s="146">
        <f t="shared" si="8"/>
        <v>3.2</v>
      </c>
    </row>
    <row r="50" spans="1:11" s="21" customFormat="1">
      <c r="A50" s="58" t="s">
        <v>912</v>
      </c>
      <c r="B50" s="11" t="s">
        <v>674</v>
      </c>
      <c r="C50" s="12" t="s">
        <v>4</v>
      </c>
      <c r="D50" s="13">
        <v>10</v>
      </c>
      <c r="E50" s="13">
        <v>10</v>
      </c>
      <c r="F50" s="27">
        <v>53.04</v>
      </c>
      <c r="G50" s="27">
        <v>75.08</v>
      </c>
      <c r="H50" s="27">
        <v>46.9</v>
      </c>
      <c r="I50" s="146">
        <f t="shared" si="6"/>
        <v>58.34</v>
      </c>
      <c r="J50" s="146">
        <f t="shared" si="7"/>
        <v>583.40000000000009</v>
      </c>
      <c r="K50" s="146">
        <f t="shared" si="8"/>
        <v>583.40000000000009</v>
      </c>
    </row>
    <row r="51" spans="1:11" s="21" customFormat="1">
      <c r="A51" s="58" t="s">
        <v>913</v>
      </c>
      <c r="B51" s="11" t="s">
        <v>650</v>
      </c>
      <c r="C51" s="12" t="s">
        <v>4</v>
      </c>
      <c r="D51" s="13">
        <v>4</v>
      </c>
      <c r="E51" s="13">
        <v>4</v>
      </c>
      <c r="F51" s="27">
        <v>24.33</v>
      </c>
      <c r="G51" s="27">
        <v>29.39</v>
      </c>
      <c r="H51" s="27">
        <v>27.1</v>
      </c>
      <c r="I51" s="146">
        <f t="shared" si="6"/>
        <v>26.94</v>
      </c>
      <c r="J51" s="146">
        <f t="shared" si="7"/>
        <v>107.76</v>
      </c>
      <c r="K51" s="146">
        <f t="shared" si="8"/>
        <v>107.76</v>
      </c>
    </row>
    <row r="52" spans="1:11" s="21" customFormat="1">
      <c r="A52" s="58" t="s">
        <v>914</v>
      </c>
      <c r="B52" s="11" t="s">
        <v>654</v>
      </c>
      <c r="C52" s="12" t="s">
        <v>4</v>
      </c>
      <c r="D52" s="13">
        <v>6</v>
      </c>
      <c r="E52" s="13">
        <v>6</v>
      </c>
      <c r="F52" s="27">
        <v>5.39</v>
      </c>
      <c r="G52" s="27">
        <v>4.99</v>
      </c>
      <c r="H52" s="27">
        <v>5.19</v>
      </c>
      <c r="I52" s="146">
        <f t="shared" si="6"/>
        <v>5.19</v>
      </c>
      <c r="J52" s="146">
        <f t="shared" si="7"/>
        <v>31.14</v>
      </c>
      <c r="K52" s="146">
        <f t="shared" si="8"/>
        <v>31.14</v>
      </c>
    </row>
    <row r="53" spans="1:11" s="21" customFormat="1" ht="60">
      <c r="A53" s="58" t="s">
        <v>915</v>
      </c>
      <c r="B53" s="11" t="s">
        <v>660</v>
      </c>
      <c r="C53" s="12" t="s">
        <v>61</v>
      </c>
      <c r="D53" s="13">
        <v>2</v>
      </c>
      <c r="E53" s="13">
        <v>1</v>
      </c>
      <c r="F53" s="27">
        <v>1499</v>
      </c>
      <c r="G53" s="27">
        <f>1499.9+62.22</f>
        <v>1562.1200000000001</v>
      </c>
      <c r="H53" s="27">
        <v>1199.9000000000001</v>
      </c>
      <c r="I53" s="146">
        <f t="shared" si="6"/>
        <v>1420.34</v>
      </c>
      <c r="J53" s="146">
        <f t="shared" si="7"/>
        <v>2840.68</v>
      </c>
      <c r="K53" s="146">
        <f t="shared" si="8"/>
        <v>1420.34</v>
      </c>
    </row>
    <row r="54" spans="1:11" s="21" customFormat="1" ht="45">
      <c r="A54" s="58" t="s">
        <v>916</v>
      </c>
      <c r="B54" s="11" t="s">
        <v>657</v>
      </c>
      <c r="C54" s="12" t="s">
        <v>4</v>
      </c>
      <c r="D54" s="13">
        <v>2</v>
      </c>
      <c r="E54" s="13">
        <v>1</v>
      </c>
      <c r="F54" s="27">
        <v>469.9</v>
      </c>
      <c r="G54" s="27">
        <v>469</v>
      </c>
      <c r="H54" s="27"/>
      <c r="I54" s="146">
        <f t="shared" si="6"/>
        <v>469.45</v>
      </c>
      <c r="J54" s="146">
        <f t="shared" si="7"/>
        <v>938.9</v>
      </c>
      <c r="K54" s="146">
        <f t="shared" si="8"/>
        <v>469.45</v>
      </c>
    </row>
    <row r="55" spans="1:11" s="21" customFormat="1" ht="30">
      <c r="A55" s="58" t="s">
        <v>917</v>
      </c>
      <c r="B55" s="11" t="s">
        <v>978</v>
      </c>
      <c r="C55" s="12" t="s">
        <v>632</v>
      </c>
      <c r="D55" s="13">
        <v>60</v>
      </c>
      <c r="E55" s="13">
        <v>60</v>
      </c>
      <c r="F55" s="27">
        <f>210</f>
        <v>210</v>
      </c>
      <c r="G55" s="27"/>
      <c r="H55" s="27"/>
      <c r="I55" s="146">
        <f t="shared" ref="I55:I56" si="9">ROUND(AVERAGE(F55,G55,H55),2)</f>
        <v>210</v>
      </c>
      <c r="J55" s="146">
        <f t="shared" ref="J55:J56" si="10">I55*D55</f>
        <v>12600</v>
      </c>
      <c r="K55" s="146">
        <f t="shared" ref="K55:K56" si="11">I55*E55</f>
        <v>12600</v>
      </c>
    </row>
    <row r="56" spans="1:11" s="21" customFormat="1" ht="30">
      <c r="A56" s="58" t="s">
        <v>977</v>
      </c>
      <c r="B56" s="11" t="s">
        <v>642</v>
      </c>
      <c r="C56" s="12" t="s">
        <v>4</v>
      </c>
      <c r="D56" s="13">
        <v>2</v>
      </c>
      <c r="E56" s="13">
        <v>2</v>
      </c>
      <c r="F56" s="27">
        <v>695.99</v>
      </c>
      <c r="G56" s="27">
        <v>598.13</v>
      </c>
      <c r="H56" s="27"/>
      <c r="I56" s="146">
        <f t="shared" si="9"/>
        <v>647.05999999999995</v>
      </c>
      <c r="J56" s="146">
        <f t="shared" si="10"/>
        <v>1294.1199999999999</v>
      </c>
      <c r="K56" s="146">
        <f t="shared" si="11"/>
        <v>1294.1199999999999</v>
      </c>
    </row>
    <row r="57" spans="1:11" s="8" customFormat="1" ht="33" customHeight="1" thickBot="1">
      <c r="A57" s="105" t="s">
        <v>409</v>
      </c>
      <c r="B57" s="106"/>
      <c r="C57" s="106"/>
      <c r="D57" s="106"/>
      <c r="E57" s="106"/>
      <c r="F57" s="106"/>
      <c r="G57" s="106"/>
      <c r="H57" s="106"/>
      <c r="I57" s="106"/>
      <c r="J57" s="74">
        <f>SUM(J3:J56)</f>
        <v>52053.22</v>
      </c>
      <c r="K57" s="74">
        <f>SUM(K3:K56)</f>
        <v>49834.55999999999</v>
      </c>
    </row>
  </sheetData>
  <sortState ref="B179:K187">
    <sortCondition ref="B179:B187"/>
  </sortState>
  <mergeCells count="3">
    <mergeCell ref="A2:B2"/>
    <mergeCell ref="A57:I57"/>
    <mergeCell ref="A1:K1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8" fitToHeight="0" orientation="portrait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29</vt:i4>
      </vt:variant>
    </vt:vector>
  </HeadingPairs>
  <TitlesOfParts>
    <vt:vector size="40" baseType="lpstr">
      <vt:lpstr>RESUMO GERAL</vt:lpstr>
      <vt:lpstr>LDI</vt:lpstr>
      <vt:lpstr>Mão de obra</vt:lpstr>
      <vt:lpstr>Segurança Trabalho</vt:lpstr>
      <vt:lpstr>Encargos Sociais</vt:lpstr>
      <vt:lpstr>EPIs e Uniformes</vt:lpstr>
      <vt:lpstr>Utensílios Higienização</vt:lpstr>
      <vt:lpstr>Insumos de Higienização</vt:lpstr>
      <vt:lpstr>Insumos de Conservação</vt:lpstr>
      <vt:lpstr>Forros e Pinturas</vt:lpstr>
      <vt:lpstr>Pisos</vt:lpstr>
      <vt:lpstr>'Encargos Sociais'!Area_de_impressao</vt:lpstr>
      <vt:lpstr>'EPIs e Uniformes'!Area_de_impressao</vt:lpstr>
      <vt:lpstr>'Forros e Pinturas'!Area_de_impressao</vt:lpstr>
      <vt:lpstr>'Insumos de Conservação'!Area_de_impressao</vt:lpstr>
      <vt:lpstr>'Insumos de Higienização'!Area_de_impressao</vt:lpstr>
      <vt:lpstr>LDI!Area_de_impressao</vt:lpstr>
      <vt:lpstr>'Mão de obra'!Area_de_impressao</vt:lpstr>
      <vt:lpstr>Pisos!Area_de_impressao</vt:lpstr>
      <vt:lpstr>'RESUMO GERAL'!Area_de_impressao</vt:lpstr>
      <vt:lpstr>'Segurança Trabalho'!Area_de_impressao</vt:lpstr>
      <vt:lpstr>'Utensílios Higienização'!Area_de_impressao</vt:lpstr>
      <vt:lpstr>PERCENTUAL_ENCARGOS</vt:lpstr>
      <vt:lpstr>'Mão de obra'!QTD_MO</vt:lpstr>
      <vt:lpstr>TAXA_LDI</vt:lpstr>
      <vt:lpstr>VALOR_EPIS_1ANO</vt:lpstr>
      <vt:lpstr>VALOR_EPIS_2ANO</vt:lpstr>
      <vt:lpstr>VALOR_EXAMES_SEGURANCA_TRABALHO_1ANO</vt:lpstr>
      <vt:lpstr>VALOR_EXAMES_SEGURANCA_TRABALHO_2ANO</vt:lpstr>
      <vt:lpstr>VALOR_FORROS_PINTURAS_1ANO</vt:lpstr>
      <vt:lpstr>VALOR_FORROS_PINTURAS_2ANO</vt:lpstr>
      <vt:lpstr>VALOR_INSUMOS_CONSERVACAO_1ANO</vt:lpstr>
      <vt:lpstr>VALOR_INSUMOS_CONSERVACAO_2ANO</vt:lpstr>
      <vt:lpstr>VALOR_INSUMOS_HIGIENIZACAO_1ANO</vt:lpstr>
      <vt:lpstr>VALOR_INSUMOS_HIGIENIZACAO_2ANO</vt:lpstr>
      <vt:lpstr>VALOR_MENSAL_MO</vt:lpstr>
      <vt:lpstr>VALOR_UTENSILIOS_HIGIENIZACAO_1ANO</vt:lpstr>
      <vt:lpstr>VALOR_UTENSILIOS_HIGIENIZACAO_2ANO</vt:lpstr>
      <vt:lpstr>VALOT_TOTAL_PISOS_1ANO</vt:lpstr>
      <vt:lpstr>VALOT_TOTAL_PISOS_2ANO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Mota Emiliano</dc:creator>
  <cp:lastModifiedBy>Pedro Henrique Mota Emiliano</cp:lastModifiedBy>
  <cp:lastPrinted>2017-04-11T11:25:07Z</cp:lastPrinted>
  <dcterms:created xsi:type="dcterms:W3CDTF">2013-04-26T13:32:04Z</dcterms:created>
  <dcterms:modified xsi:type="dcterms:W3CDTF">2017-05-24T19:19:44Z</dcterms:modified>
</cp:coreProperties>
</file>